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QRP_ES" sheetId="1" r:id="rId1"/>
    <sheet name="Validation" sheetId="2" state="hidden" r:id="rId2"/>
    <sheet name="Lookup" sheetId="3" state="hidden" r:id="rId3"/>
  </sheets>
  <definedNames>
    <definedName name="Action">'Validation'!$B$38:$B$39</definedName>
    <definedName name="grades">'Validation'!$F$3:$F$4</definedName>
    <definedName name="grades2">'Validation'!$F$4:$F$4</definedName>
    <definedName name="_xlnm.Print_Area" localSheetId="0">'SQRP_ES'!$A$1:$I$49</definedName>
    <definedName name="Rating">'Validation'!$E$38:$E$40</definedName>
    <definedName name="Rating1">'Validation'!$E$38:$E$43</definedName>
    <definedName name="Survey">'Validation'!$B$3:$B$7</definedName>
    <definedName name="Survey1">'Validation'!$B$3:$B$8</definedName>
  </definedNames>
  <calcPr fullCalcOnLoad="1"/>
</workbook>
</file>

<file path=xl/sharedStrings.xml><?xml version="1.0" encoding="utf-8"?>
<sst xmlns="http://schemas.openxmlformats.org/spreadsheetml/2006/main" count="202" uniqueCount="99">
  <si>
    <t>Metric</t>
  </si>
  <si>
    <t>Result</t>
  </si>
  <si>
    <t>Points</t>
  </si>
  <si>
    <t>Weight</t>
  </si>
  <si>
    <t>Weighted Points</t>
  </si>
  <si>
    <t>Participation Rate</t>
  </si>
  <si>
    <t>Adjusted Points</t>
  </si>
  <si>
    <t>Well Organized</t>
  </si>
  <si>
    <t>Organized</t>
  </si>
  <si>
    <t>Moderately Organized</t>
  </si>
  <si>
    <t>Partially Organized</t>
  </si>
  <si>
    <t>Not Yet Organized</t>
  </si>
  <si>
    <t>5 Essentials</t>
  </si>
  <si>
    <t>WEIGHTING: Highest Grade - Other</t>
  </si>
  <si>
    <t>Highes Grade Served</t>
  </si>
  <si>
    <t>3rd</t>
  </si>
  <si>
    <t>WEIGHTING: Highest Grade - 3rd</t>
  </si>
  <si>
    <t>Weighted Points Earned:</t>
  </si>
  <si>
    <t xml:space="preserve">School Quality Rating: </t>
  </si>
  <si>
    <t>Accountability Status:</t>
  </si>
  <si>
    <t>WEIGHTED POINTS: Highest Grade -Other</t>
  </si>
  <si>
    <t>WEIGHTED POINTS: Highest Grade - 2nd</t>
  </si>
  <si>
    <t>WEGHTED POINTS: Highest Grade - 3rd</t>
  </si>
  <si>
    <t>8.3 Action in last 5 years?</t>
  </si>
  <si>
    <t>Y</t>
  </si>
  <si>
    <t>N</t>
  </si>
  <si>
    <t>Level 1</t>
  </si>
  <si>
    <t>Level 2</t>
  </si>
  <si>
    <t>Level 3</t>
  </si>
  <si>
    <t xml:space="preserve">Step 6: Your school's Accountability Status is calculated automatically. </t>
  </si>
  <si>
    <t>8.3 Action</t>
  </si>
  <si>
    <t>No Rating</t>
  </si>
  <si>
    <t>4th-8th</t>
  </si>
  <si>
    <t>N/A</t>
  </si>
  <si>
    <t>Not Enough Data</t>
  </si>
  <si>
    <t>*NOTE: These metrics are all required for your school to receive a School Quality Rating and Accountability Status. If your school is missing ANY of these metrics, it will NOT receive a School Quality Rating or Accountability Status.</t>
  </si>
  <si>
    <t>Elementary School Quality Performance Rating Calculator</t>
  </si>
  <si>
    <t>Step 5: Enter your school's data for each of the light blue fields.</t>
  </si>
  <si>
    <t>Accountability Status Validation</t>
  </si>
  <si>
    <t>Highest Elementary Grade Served (select):</t>
  </si>
  <si>
    <t>Step 4: Your school's weighted score and School Quality Rating are calculated automatically.</t>
  </si>
  <si>
    <t>Step 3: For each assessment metric, enter your school's participation rate in the corresponding yellow box.</t>
  </si>
  <si>
    <t xml:space="preserve">Step 2: For each of the listed metrics (in the boxes to the far left), enter  your school's score in the corresponding orange box. </t>
  </si>
  <si>
    <t xml:space="preserve">Step 1: Choose the highest grade your school serves (3rd or 4th-8th) in the green box. </t>
  </si>
  <si>
    <t>Level 2+</t>
  </si>
  <si>
    <t>Level 1+</t>
  </si>
  <si>
    <t>National School Growth percentile on the NWEA Reading Assessment</t>
  </si>
  <si>
    <t>National School Growth percentile on the NWEA Math Assessment</t>
  </si>
  <si>
    <t>African American National Growth percentile on the NWEA Reading Assessment</t>
  </si>
  <si>
    <t>Elementary Performance Indicator</t>
  </si>
  <si>
    <t>Percentage of Students Meeting or Exceeding National Average Growth Norms on the NWEA Reading and Math Assessments</t>
  </si>
  <si>
    <t>National School Attainment Percentile on the NWEA Reading Assessment for Grades 3-8</t>
  </si>
  <si>
    <t>National School Attainment Percentile on the NWEA Math Assessment for Grades 3-8</t>
  </si>
  <si>
    <t>National School Attainment Percentile on the NWEA Reading Assessment for Grade 2</t>
  </si>
  <si>
    <t>National School Attainment Percentile on the NWEA Math Assessment for Grade 2</t>
  </si>
  <si>
    <t>Percentage of Students Making Sufficient Annual Progress on the ACCESS Assessment</t>
  </si>
  <si>
    <t>Grades 3-8 On-Track</t>
  </si>
  <si>
    <t>Average Daily Attendance Rate (Grades K-8)</t>
  </si>
  <si>
    <t>Data Quality Index Score</t>
  </si>
  <si>
    <t>African American National Growth Percentile on the NWEA Math Assessment</t>
  </si>
  <si>
    <t>Latinx National Growth Percentile on the NWEA Math Assessment</t>
  </si>
  <si>
    <t>Latinx National Growth percentile on the NWEA Reading Assessment</t>
  </si>
  <si>
    <t>Diverse Learner National Growth percentile on the NWEA Reading Assessment</t>
  </si>
  <si>
    <t>English Learner National Growth Percentile on the NWEA Math Assessment</t>
  </si>
  <si>
    <t>English Learner National Growth percentile on the NWEA Reading Assessment</t>
  </si>
  <si>
    <t>Diverse Learner National Growth Percentile on the NWEA Math Assessment</t>
  </si>
  <si>
    <t xml:space="preserve">Up to 5%
(1.25% for each priority group)
</t>
  </si>
  <si>
    <t>My Voice, My School 5 Essentials Survey (If Not Enough Data, please leave blank)</t>
  </si>
  <si>
    <t xml:space="preserve">Up to 5%
(1.25% for each priority group)
</t>
  </si>
  <si>
    <t>2019 Rating</t>
  </si>
  <si>
    <t>National School Growth percentile on the NWEA Reading Assessment*</t>
  </si>
  <si>
    <t>National School Growth percentile on the NWEA Math Assessment*</t>
  </si>
  <si>
    <t>Percentage of Students Meeting or Exceeding National Average Growth Norms on the NWEA Reading and Math Assessments*</t>
  </si>
  <si>
    <t>National School Attainment Percentile on the NWEA Reading Assessment for Grades 3-8*</t>
  </si>
  <si>
    <t>National School Attainment Percentile on the NWEA Math Assessment for Grades 3-8*</t>
  </si>
  <si>
    <t>Average Daily Attendance Rate (Grades K-8)*</t>
  </si>
  <si>
    <t>Hispanic National Growth percentile on the NWEA Reading Assessment</t>
  </si>
  <si>
    <t>Hispanic National Growth Percentile on the NWEA Math Assessment</t>
  </si>
  <si>
    <t>Years on Intensive Support</t>
  </si>
  <si>
    <t>Current</t>
  </si>
  <si>
    <t>Last</t>
  </si>
  <si>
    <t>Intensive and Provisional</t>
  </si>
  <si>
    <t xml:space="preserve"> </t>
  </si>
  <si>
    <t>Rating Level</t>
  </si>
  <si>
    <t>Intensive</t>
  </si>
  <si>
    <t>Intensive/ Provisional</t>
  </si>
  <si>
    <t>Prior Year Rating</t>
  </si>
  <si>
    <t>Status</t>
  </si>
  <si>
    <t>2, 2+, 1, 1+</t>
  </si>
  <si>
    <t>Provisional</t>
  </si>
  <si>
    <t>2+, 1, 1+</t>
  </si>
  <si>
    <t>Good Standing</t>
  </si>
  <si>
    <t>2, 3</t>
  </si>
  <si>
    <t>/</t>
  </si>
  <si>
    <t>8.3 Action, Intensive, Provisional</t>
  </si>
  <si>
    <t>School On Provisional or Intensive Support for last 2 years</t>
  </si>
  <si>
    <t>School On Intensive Support for last 2 years</t>
  </si>
  <si>
    <t>Grades 3-8</t>
  </si>
  <si>
    <t>Grade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</si>
</sst>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9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24"/>
      <color indexed="9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5288"/>
        <bgColor indexed="64"/>
      </patternFill>
    </fill>
    <fill>
      <patternFill patternType="solid">
        <fgColor rgb="FF87C3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42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0CE6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/>
      <right/>
      <top style="thin">
        <color theme="0" tint="-0.1499900072813034"/>
      </top>
      <bottom/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/>
      <right style="thin">
        <color theme="0" tint="-0.1499900072813034"/>
      </right>
      <top/>
      <bottom style="medium"/>
    </border>
    <border>
      <left style="thin">
        <color theme="0" tint="-0.24997000396251678"/>
      </left>
      <right/>
      <top style="thin">
        <color theme="0" tint="-0.24997000396251678"/>
      </top>
      <bottom style="medium"/>
    </border>
    <border>
      <left style="medium"/>
      <right/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/>
      <top/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49" fillId="0" borderId="0" xfId="0" applyFont="1" applyFill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0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7" xfId="0" applyFill="1" applyBorder="1" applyAlignment="1">
      <alignment/>
    </xf>
    <xf numFmtId="0" fontId="0" fillId="22" borderId="13" xfId="0" applyFill="1" applyBorder="1" applyAlignment="1">
      <alignment/>
    </xf>
    <xf numFmtId="0" fontId="0" fillId="0" borderId="17" xfId="0" applyBorder="1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7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49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/>
      <protection locked="0"/>
    </xf>
    <xf numFmtId="164" fontId="49" fillId="0" borderId="0" xfId="0" applyNumberFormat="1" applyFont="1" applyAlignment="1" applyProtection="1">
      <alignment/>
      <protection locked="0"/>
    </xf>
    <xf numFmtId="0" fontId="50" fillId="33" borderId="0" xfId="0" applyFont="1" applyFill="1" applyBorder="1" applyAlignment="1" applyProtection="1">
      <alignment vertical="top" wrapText="1"/>
      <protection locked="0"/>
    </xf>
    <xf numFmtId="0" fontId="50" fillId="33" borderId="0" xfId="0" applyFont="1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5" borderId="16" xfId="0" applyFill="1" applyBorder="1" applyAlignment="1">
      <alignment/>
    </xf>
    <xf numFmtId="0" fontId="0" fillId="0" borderId="16" xfId="0" applyBorder="1" applyAlignment="1">
      <alignment/>
    </xf>
    <xf numFmtId="0" fontId="51" fillId="36" borderId="0" xfId="0" applyFont="1" applyFill="1" applyBorder="1" applyAlignment="1" applyProtection="1">
      <alignment horizontal="center" vertical="center"/>
      <protection locked="0"/>
    </xf>
    <xf numFmtId="0" fontId="51" fillId="36" borderId="0" xfId="0" applyFont="1" applyFill="1" applyBorder="1" applyAlignment="1" applyProtection="1">
      <alignment horizontal="center" vertical="center" wrapText="1"/>
      <protection locked="0"/>
    </xf>
    <xf numFmtId="0" fontId="52" fillId="37" borderId="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53" fillId="38" borderId="0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left" wrapText="1"/>
      <protection locked="0"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49" fillId="39" borderId="18" xfId="0" applyFont="1" applyFill="1" applyBorder="1" applyAlignment="1" applyProtection="1">
      <alignment vertical="center"/>
      <protection/>
    </xf>
    <xf numFmtId="0" fontId="49" fillId="39" borderId="18" xfId="0" applyFont="1" applyFill="1" applyBorder="1" applyAlignment="1" applyProtection="1">
      <alignment horizontal="center" vertical="center"/>
      <protection/>
    </xf>
    <xf numFmtId="0" fontId="4" fillId="40" borderId="18" xfId="0" applyFont="1" applyFill="1" applyBorder="1" applyAlignment="1" applyProtection="1">
      <alignment horizontal="center" vertical="center"/>
      <protection locked="0"/>
    </xf>
    <xf numFmtId="10" fontId="49" fillId="39" borderId="18" xfId="0" applyNumberFormat="1" applyFont="1" applyFill="1" applyBorder="1" applyAlignment="1" applyProtection="1">
      <alignment horizontal="center" vertical="center"/>
      <protection/>
    </xf>
    <xf numFmtId="164" fontId="49" fillId="39" borderId="18" xfId="0" applyNumberFormat="1" applyFont="1" applyFill="1" applyBorder="1" applyAlignment="1" applyProtection="1">
      <alignment horizontal="center" vertical="center"/>
      <protection/>
    </xf>
    <xf numFmtId="0" fontId="49" fillId="39" borderId="19" xfId="0" applyFont="1" applyFill="1" applyBorder="1" applyAlignment="1" applyProtection="1">
      <alignment vertical="center"/>
      <protection/>
    </xf>
    <xf numFmtId="0" fontId="49" fillId="39" borderId="19" xfId="0" applyFont="1" applyFill="1" applyBorder="1" applyAlignment="1" applyProtection="1">
      <alignment horizontal="center" vertical="center"/>
      <protection/>
    </xf>
    <xf numFmtId="0" fontId="4" fillId="40" borderId="19" xfId="0" applyFont="1" applyFill="1" applyBorder="1" applyAlignment="1" applyProtection="1">
      <alignment horizontal="center" vertical="center"/>
      <protection locked="0"/>
    </xf>
    <xf numFmtId="164" fontId="49" fillId="39" borderId="19" xfId="0" applyNumberFormat="1" applyFont="1" applyFill="1" applyBorder="1" applyAlignment="1" applyProtection="1">
      <alignment horizontal="center" vertical="center"/>
      <protection/>
    </xf>
    <xf numFmtId="0" fontId="55" fillId="41" borderId="19" xfId="0" applyFont="1" applyFill="1" applyBorder="1" applyAlignment="1" applyProtection="1">
      <alignment horizontal="center" vertical="center"/>
      <protection/>
    </xf>
    <xf numFmtId="0" fontId="49" fillId="39" borderId="20" xfId="0" applyFont="1" applyFill="1" applyBorder="1" applyAlignment="1" applyProtection="1">
      <alignment vertical="center"/>
      <protection/>
    </xf>
    <xf numFmtId="0" fontId="49" fillId="39" borderId="20" xfId="0" applyFont="1" applyFill="1" applyBorder="1" applyAlignment="1" applyProtection="1">
      <alignment horizontal="center" vertical="center"/>
      <protection/>
    </xf>
    <xf numFmtId="0" fontId="55" fillId="41" borderId="20" xfId="0" applyFont="1" applyFill="1" applyBorder="1" applyAlignment="1" applyProtection="1">
      <alignment horizontal="center" vertical="center"/>
      <protection/>
    </xf>
    <xf numFmtId="164" fontId="49" fillId="39" borderId="20" xfId="0" applyNumberFormat="1" applyFont="1" applyFill="1" applyBorder="1" applyAlignment="1" applyProtection="1">
      <alignment horizontal="center" vertical="center"/>
      <protection/>
    </xf>
    <xf numFmtId="0" fontId="56" fillId="0" borderId="21" xfId="0" applyFont="1" applyBorder="1" applyAlignment="1">
      <alignment vertical="center" wrapText="1"/>
    </xf>
    <xf numFmtId="0" fontId="56" fillId="0" borderId="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/>
    </xf>
    <xf numFmtId="0" fontId="16" fillId="22" borderId="0" xfId="0" applyFont="1" applyFill="1" applyBorder="1" applyAlignment="1">
      <alignment/>
    </xf>
    <xf numFmtId="0" fontId="16" fillId="22" borderId="14" xfId="0" applyFont="1" applyFill="1" applyBorder="1" applyAlignment="1">
      <alignment/>
    </xf>
    <xf numFmtId="0" fontId="4" fillId="22" borderId="15" xfId="0" applyFont="1" applyFill="1" applyBorder="1" applyAlignment="1">
      <alignment/>
    </xf>
    <xf numFmtId="0" fontId="16" fillId="22" borderId="16" xfId="0" applyFont="1" applyFill="1" applyBorder="1" applyAlignment="1">
      <alignment/>
    </xf>
    <xf numFmtId="0" fontId="16" fillId="22" borderId="17" xfId="0" applyFont="1" applyFill="1" applyBorder="1" applyAlignment="1">
      <alignment/>
    </xf>
    <xf numFmtId="10" fontId="0" fillId="0" borderId="0" xfId="0" applyNumberFormat="1" applyAlignment="1">
      <alignment/>
    </xf>
    <xf numFmtId="10" fontId="57" fillId="0" borderId="21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9" fontId="57" fillId="0" borderId="2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49" fillId="39" borderId="19" xfId="0" applyFont="1" applyFill="1" applyBorder="1" applyAlignment="1" applyProtection="1">
      <alignment vertical="center" wrapText="1"/>
      <protection/>
    </xf>
    <xf numFmtId="0" fontId="57" fillId="0" borderId="25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6" fillId="22" borderId="0" xfId="0" applyFont="1" applyFill="1" applyBorder="1" applyAlignment="1">
      <alignment/>
    </xf>
    <xf numFmtId="0" fontId="0" fillId="22" borderId="15" xfId="0" applyFill="1" applyBorder="1" applyAlignment="1">
      <alignment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top"/>
    </xf>
    <xf numFmtId="0" fontId="33" fillId="39" borderId="26" xfId="0" applyFont="1" applyFill="1" applyBorder="1" applyAlignment="1">
      <alignment vertical="top" wrapText="1"/>
    </xf>
    <xf numFmtId="0" fontId="33" fillId="39" borderId="27" xfId="0" applyFont="1" applyFill="1" applyBorder="1" applyAlignment="1">
      <alignment/>
    </xf>
    <xf numFmtId="0" fontId="0" fillId="0" borderId="28" xfId="0" applyBorder="1" applyAlignment="1">
      <alignment/>
    </xf>
    <xf numFmtId="0" fontId="33" fillId="39" borderId="29" xfId="0" applyFont="1" applyFill="1" applyBorder="1" applyAlignment="1">
      <alignment/>
    </xf>
    <xf numFmtId="0" fontId="33" fillId="39" borderId="27" xfId="0" applyFont="1" applyFill="1" applyBorder="1" applyAlignment="1">
      <alignment wrapText="1"/>
    </xf>
    <xf numFmtId="0" fontId="33" fillId="39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33" fillId="39" borderId="26" xfId="0" applyFont="1" applyFill="1" applyBorder="1" applyAlignment="1">
      <alignment/>
    </xf>
    <xf numFmtId="0" fontId="33" fillId="39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33" fillId="39" borderId="33" xfId="0" applyFont="1" applyFill="1" applyBorder="1" applyAlignment="1">
      <alignment/>
    </xf>
    <xf numFmtId="0" fontId="33" fillId="39" borderId="27" xfId="0" applyFont="1" applyFill="1" applyBorder="1" applyAlignment="1">
      <alignment vertical="top" wrapText="1"/>
    </xf>
    <xf numFmtId="0" fontId="33" fillId="39" borderId="34" xfId="0" applyFont="1" applyFill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NumberFormat="1" applyFont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/>
    </xf>
    <xf numFmtId="0" fontId="0" fillId="39" borderId="15" xfId="0" applyFill="1" applyBorder="1" applyAlignment="1">
      <alignment/>
    </xf>
    <xf numFmtId="0" fontId="0" fillId="39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39" borderId="42" xfId="0" applyFill="1" applyBorder="1" applyAlignment="1">
      <alignment/>
    </xf>
    <xf numFmtId="0" fontId="49" fillId="39" borderId="18" xfId="0" applyFont="1" applyFill="1" applyBorder="1" applyAlignment="1" applyProtection="1">
      <alignment horizontal="left" vertical="center"/>
      <protection/>
    </xf>
    <xf numFmtId="0" fontId="49" fillId="39" borderId="19" xfId="0" applyFont="1" applyFill="1" applyBorder="1" applyAlignment="1" applyProtection="1">
      <alignment horizontal="left" vertical="center"/>
      <protection/>
    </xf>
    <xf numFmtId="0" fontId="49" fillId="39" borderId="19" xfId="0" applyFont="1" applyFill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left" vertical="center"/>
      <protection locked="0"/>
    </xf>
    <xf numFmtId="0" fontId="49" fillId="39" borderId="20" xfId="0" applyFont="1" applyFill="1" applyBorder="1" applyAlignment="1" applyProtection="1">
      <alignment horizontal="left" vertical="center"/>
      <protection/>
    </xf>
    <xf numFmtId="0" fontId="49" fillId="25" borderId="0" xfId="0" applyNumberFormat="1" applyFont="1" applyFill="1" applyAlignment="1">
      <alignment horizontal="center" vertical="center"/>
    </xf>
    <xf numFmtId="49" fontId="49" fillId="25" borderId="0" xfId="0" applyNumberFormat="1" applyFont="1" applyFill="1" applyAlignment="1">
      <alignment horizontal="center" vertical="center"/>
    </xf>
    <xf numFmtId="0" fontId="58" fillId="37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left" wrapText="1"/>
      <protection locked="0"/>
    </xf>
    <xf numFmtId="0" fontId="52" fillId="37" borderId="0" xfId="0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 applyProtection="1">
      <alignment horizontal="right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8" fillId="37" borderId="0" xfId="0" applyFont="1" applyFill="1" applyBorder="1" applyAlignment="1" applyProtection="1">
      <alignment horizontal="left" vertical="center" wrapText="1"/>
      <protection locked="0"/>
    </xf>
    <xf numFmtId="0" fontId="49" fillId="39" borderId="10" xfId="0" applyFont="1" applyFill="1" applyBorder="1" applyAlignment="1" applyProtection="1">
      <alignment horizontal="center" vertical="center" wrapText="1"/>
      <protection locked="0"/>
    </xf>
    <xf numFmtId="0" fontId="49" fillId="39" borderId="12" xfId="0" applyFont="1" applyFill="1" applyBorder="1" applyAlignment="1" applyProtection="1">
      <alignment horizontal="center" vertical="center" wrapText="1"/>
      <protection locked="0"/>
    </xf>
    <xf numFmtId="0" fontId="49" fillId="39" borderId="15" xfId="0" applyFont="1" applyFill="1" applyBorder="1" applyAlignment="1" applyProtection="1">
      <alignment horizontal="center" vertical="center" wrapText="1"/>
      <protection locked="0"/>
    </xf>
    <xf numFmtId="0" fontId="49" fillId="39" borderId="17" xfId="0" applyFont="1" applyFill="1" applyBorder="1" applyAlignment="1" applyProtection="1">
      <alignment horizontal="center" vertical="center" wrapText="1"/>
      <protection locked="0"/>
    </xf>
    <xf numFmtId="0" fontId="4" fillId="42" borderId="43" xfId="0" applyFont="1" applyFill="1" applyBorder="1" applyAlignment="1" applyProtection="1">
      <alignment horizontal="center" vertical="center"/>
      <protection locked="0"/>
    </xf>
    <xf numFmtId="0" fontId="4" fillId="42" borderId="44" xfId="0" applyFont="1" applyFill="1" applyBorder="1" applyAlignment="1" applyProtection="1">
      <alignment horizontal="center" vertical="center"/>
      <protection locked="0"/>
    </xf>
    <xf numFmtId="0" fontId="58" fillId="37" borderId="0" xfId="0" applyFont="1" applyFill="1" applyBorder="1" applyAlignment="1" applyProtection="1">
      <alignment horizontal="center" wrapText="1"/>
      <protection locked="0"/>
    </xf>
    <xf numFmtId="0" fontId="0" fillId="18" borderId="10" xfId="0" applyFill="1" applyBorder="1" applyAlignment="1">
      <alignment/>
    </xf>
    <xf numFmtId="0" fontId="0" fillId="18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200025</xdr:rowOff>
    </xdr:from>
    <xdr:to>
      <xdr:col>2</xdr:col>
      <xdr:colOff>1381125</xdr:colOff>
      <xdr:row>3</xdr:row>
      <xdr:rowOff>257175</xdr:rowOff>
    </xdr:to>
    <xdr:sp>
      <xdr:nvSpPr>
        <xdr:cNvPr id="1" name="Right Arrow 4"/>
        <xdr:cNvSpPr>
          <a:spLocks/>
        </xdr:cNvSpPr>
      </xdr:nvSpPr>
      <xdr:spPr>
        <a:xfrm>
          <a:off x="6591300" y="1057275"/>
          <a:ext cx="1038225" cy="438150"/>
        </a:xfrm>
        <a:prstGeom prst="rightArrow">
          <a:avLst>
            <a:gd name="adj" fmla="val 27712"/>
          </a:avLst>
        </a:prstGeom>
        <a:solidFill>
          <a:srgbClr val="00528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1047750</xdr:colOff>
      <xdr:row>8</xdr:row>
      <xdr:rowOff>247650</xdr:rowOff>
    </xdr:to>
    <xdr:sp>
      <xdr:nvSpPr>
        <xdr:cNvPr id="2" name="Down Arrow 10"/>
        <xdr:cNvSpPr>
          <a:spLocks/>
        </xdr:cNvSpPr>
      </xdr:nvSpPr>
      <xdr:spPr>
        <a:xfrm>
          <a:off x="6791325" y="2809875"/>
          <a:ext cx="504825" cy="409575"/>
        </a:xfrm>
        <a:prstGeom prst="downArrow">
          <a:avLst>
            <a:gd name="adj" fmla="val 0"/>
          </a:avLst>
        </a:prstGeom>
        <a:solidFill>
          <a:srgbClr val="00528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7</xdr:row>
      <xdr:rowOff>28575</xdr:rowOff>
    </xdr:from>
    <xdr:to>
      <xdr:col>4</xdr:col>
      <xdr:colOff>752475</xdr:colOff>
      <xdr:row>8</xdr:row>
      <xdr:rowOff>247650</xdr:rowOff>
    </xdr:to>
    <xdr:sp>
      <xdr:nvSpPr>
        <xdr:cNvPr id="3" name="Down Arrow 11"/>
        <xdr:cNvSpPr>
          <a:spLocks/>
        </xdr:cNvSpPr>
      </xdr:nvSpPr>
      <xdr:spPr>
        <a:xfrm>
          <a:off x="9048750" y="2800350"/>
          <a:ext cx="504825" cy="419100"/>
        </a:xfrm>
        <a:prstGeom prst="downArrow">
          <a:avLst>
            <a:gd name="adj" fmla="val 0"/>
          </a:avLst>
        </a:prstGeom>
        <a:solidFill>
          <a:srgbClr val="00528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35</xdr:row>
      <xdr:rowOff>209550</xdr:rowOff>
    </xdr:from>
    <xdr:to>
      <xdr:col>3</xdr:col>
      <xdr:colOff>581025</xdr:colOff>
      <xdr:row>41</xdr:row>
      <xdr:rowOff>95250</xdr:rowOff>
    </xdr:to>
    <xdr:sp>
      <xdr:nvSpPr>
        <xdr:cNvPr id="4" name="Right Arrow 13"/>
        <xdr:cNvSpPr>
          <a:spLocks/>
        </xdr:cNvSpPr>
      </xdr:nvSpPr>
      <xdr:spPr>
        <a:xfrm rot="10800000">
          <a:off x="8267700" y="11334750"/>
          <a:ext cx="371475" cy="1657350"/>
        </a:xfrm>
        <a:prstGeom prst="rightArrow">
          <a:avLst>
            <a:gd name="adj" fmla="val 0"/>
          </a:avLst>
        </a:prstGeom>
        <a:solidFill>
          <a:srgbClr val="00528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42</xdr:row>
      <xdr:rowOff>219075</xdr:rowOff>
    </xdr:from>
    <xdr:to>
      <xdr:col>3</xdr:col>
      <xdr:colOff>581025</xdr:colOff>
      <xdr:row>44</xdr:row>
      <xdr:rowOff>247650</xdr:rowOff>
    </xdr:to>
    <xdr:sp>
      <xdr:nvSpPr>
        <xdr:cNvPr id="5" name="Right Arrow 14"/>
        <xdr:cNvSpPr>
          <a:spLocks/>
        </xdr:cNvSpPr>
      </xdr:nvSpPr>
      <xdr:spPr>
        <a:xfrm rot="10800000">
          <a:off x="8267700" y="13411200"/>
          <a:ext cx="371475" cy="619125"/>
        </a:xfrm>
        <a:prstGeom prst="rightArrow">
          <a:avLst>
            <a:gd name="adj" fmla="val 0"/>
          </a:avLst>
        </a:prstGeom>
        <a:solidFill>
          <a:srgbClr val="00528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31</xdr:row>
      <xdr:rowOff>95250</xdr:rowOff>
    </xdr:from>
    <xdr:to>
      <xdr:col>3</xdr:col>
      <xdr:colOff>600075</xdr:colOff>
      <xdr:row>33</xdr:row>
      <xdr:rowOff>352425</xdr:rowOff>
    </xdr:to>
    <xdr:sp>
      <xdr:nvSpPr>
        <xdr:cNvPr id="6" name="Right Arrow 15"/>
        <xdr:cNvSpPr>
          <a:spLocks/>
        </xdr:cNvSpPr>
      </xdr:nvSpPr>
      <xdr:spPr>
        <a:xfrm rot="10800000">
          <a:off x="8286750" y="10010775"/>
          <a:ext cx="371475" cy="723900"/>
        </a:xfrm>
        <a:prstGeom prst="rightArrow">
          <a:avLst>
            <a:gd name="adj" fmla="val 0"/>
          </a:avLst>
        </a:prstGeom>
        <a:solidFill>
          <a:srgbClr val="005288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2.7109375" style="34" customWidth="1"/>
    <col min="2" max="2" width="91.00390625" style="34" customWidth="1"/>
    <col min="3" max="3" width="27.140625" style="34" customWidth="1"/>
    <col min="4" max="4" width="11.140625" style="34" customWidth="1"/>
    <col min="5" max="5" width="14.28125" style="34" bestFit="1" customWidth="1"/>
    <col min="6" max="8" width="11.140625" style="34" customWidth="1"/>
    <col min="9" max="9" width="3.28125" style="34" customWidth="1"/>
    <col min="10" max="16384" width="9.140625" style="34" customWidth="1"/>
  </cols>
  <sheetData>
    <row r="1" spans="1:9" s="1" customFormat="1" ht="36.75" customHeight="1">
      <c r="A1" s="140" t="s">
        <v>36</v>
      </c>
      <c r="B1" s="140"/>
      <c r="C1" s="140"/>
      <c r="D1" s="140"/>
      <c r="E1" s="140"/>
      <c r="F1" s="140"/>
      <c r="G1" s="140"/>
      <c r="H1" s="140"/>
      <c r="I1" s="140"/>
    </row>
    <row r="2" spans="1:9" s="1" customFormat="1" ht="30.75" thickBot="1">
      <c r="A2" s="33"/>
      <c r="B2" s="32"/>
      <c r="C2" s="32"/>
      <c r="D2" s="32"/>
      <c r="E2" s="32"/>
      <c r="F2" s="32"/>
      <c r="G2" s="32"/>
      <c r="H2" s="32"/>
      <c r="I2" s="33"/>
    </row>
    <row r="3" spans="1:9" s="1" customFormat="1" ht="30" customHeight="1">
      <c r="A3" s="33"/>
      <c r="B3" s="141" t="s">
        <v>43</v>
      </c>
      <c r="C3" s="32"/>
      <c r="D3" s="142" t="s">
        <v>39</v>
      </c>
      <c r="E3" s="143"/>
      <c r="F3" s="146" t="s">
        <v>32</v>
      </c>
      <c r="G3" s="32"/>
      <c r="H3" s="32"/>
      <c r="I3" s="33"/>
    </row>
    <row r="4" spans="1:9" s="1" customFormat="1" ht="30.75" thickBot="1">
      <c r="A4" s="33"/>
      <c r="B4" s="141"/>
      <c r="C4" s="32"/>
      <c r="D4" s="144"/>
      <c r="E4" s="145"/>
      <c r="F4" s="147"/>
      <c r="G4" s="32"/>
      <c r="H4" s="32"/>
      <c r="I4" s="33"/>
    </row>
    <row r="5" spans="1:9" s="1" customFormat="1" ht="30">
      <c r="A5" s="33"/>
      <c r="B5" s="32"/>
      <c r="C5" s="32"/>
      <c r="D5" s="32"/>
      <c r="E5" s="32"/>
      <c r="F5" s="32"/>
      <c r="G5" s="32"/>
      <c r="H5" s="32"/>
      <c r="I5" s="32"/>
    </row>
    <row r="6" spans="1:9" s="1" customFormat="1" ht="30" customHeight="1">
      <c r="A6" s="33"/>
      <c r="B6" s="141" t="s">
        <v>42</v>
      </c>
      <c r="C6" s="141"/>
      <c r="D6" s="32"/>
      <c r="E6" s="148" t="s">
        <v>41</v>
      </c>
      <c r="F6" s="148"/>
      <c r="G6" s="148"/>
      <c r="H6" s="148"/>
      <c r="I6" s="33"/>
    </row>
    <row r="7" spans="1:9" s="1" customFormat="1" ht="30">
      <c r="A7" s="33"/>
      <c r="B7" s="141"/>
      <c r="C7" s="141"/>
      <c r="D7" s="32"/>
      <c r="E7" s="148"/>
      <c r="F7" s="148"/>
      <c r="G7" s="148"/>
      <c r="H7" s="148"/>
      <c r="I7" s="33"/>
    </row>
    <row r="8" spans="1:9" ht="15.75" customHeight="1">
      <c r="A8" s="33"/>
      <c r="B8" s="31"/>
      <c r="C8" s="31"/>
      <c r="D8" s="31"/>
      <c r="E8" s="31"/>
      <c r="F8" s="31"/>
      <c r="G8" s="31"/>
      <c r="H8" s="31"/>
      <c r="I8" s="33"/>
    </row>
    <row r="9" spans="1:9" ht="23.25">
      <c r="A9" s="33"/>
      <c r="B9" s="31"/>
      <c r="C9" s="31"/>
      <c r="D9" s="31"/>
      <c r="E9" s="31"/>
      <c r="F9" s="31"/>
      <c r="G9" s="31"/>
      <c r="H9" s="31"/>
      <c r="I9" s="33"/>
    </row>
    <row r="10" spans="1:9" ht="30">
      <c r="A10" s="33"/>
      <c r="B10" s="43" t="s">
        <v>0</v>
      </c>
      <c r="C10" s="43" t="s">
        <v>1</v>
      </c>
      <c r="D10" s="43" t="s">
        <v>2</v>
      </c>
      <c r="E10" s="44" t="s">
        <v>5</v>
      </c>
      <c r="F10" s="44" t="s">
        <v>6</v>
      </c>
      <c r="G10" s="43" t="s">
        <v>3</v>
      </c>
      <c r="H10" s="44" t="s">
        <v>4</v>
      </c>
      <c r="I10" s="33"/>
    </row>
    <row r="11" spans="1:11" ht="23.25">
      <c r="A11" s="33"/>
      <c r="B11" s="129" t="s">
        <v>70</v>
      </c>
      <c r="C11" s="134"/>
      <c r="D11" s="51">
        <f>IF(ISNUMBER(C11),LOOKUP(C11,Lookup!D2:H2,Lookup!$D$1:$H$1),"")</f>
      </c>
      <c r="E11" s="52">
        <v>100</v>
      </c>
      <c r="F11" s="51">
        <f>IF(C11="","",MAX(1,IF(E11&gt;=95,D11,IF(AND(E11&lt;95,E11&gt;=93),D11-1,IF(AND(E11&lt;93,E11&gt;=92),D11-2,IF(AND(E11&lt;92,E11&gt;=90),D11-3,IF(E11&lt;90,D11-4)))))))</f>
      </c>
      <c r="G11" s="53">
        <f>IF(C11="","",IF($F$3="4th-8th",Validation!B11,IF($F$3="3rd",Validation!F11,"")))</f>
      </c>
      <c r="H11" s="54">
        <f aca="true" t="shared" si="0" ref="H11:H30">IF(G11="","",F11*G11)</f>
      </c>
      <c r="I11" s="33"/>
      <c r="K11" s="35"/>
    </row>
    <row r="12" spans="1:9" ht="23.25">
      <c r="A12" s="33"/>
      <c r="B12" s="130" t="s">
        <v>71</v>
      </c>
      <c r="C12" s="134"/>
      <c r="D12" s="51">
        <f>IF(ISNUMBER(C12),LOOKUP(C12,Lookup!D3:H3,Lookup!$D$1:$H$1),"")</f>
      </c>
      <c r="E12" s="57">
        <v>100</v>
      </c>
      <c r="F12" s="56">
        <f aca="true" t="shared" si="1" ref="F12:F26">IF(C12="","",MAX(1,IF(E12&gt;=95,D12,IF(AND(E12&lt;95,E12&gt;=93),D12-1,IF(AND(E12&lt;93,E12&gt;=92),D12-2,IF(AND(E12&lt;92,E12&gt;=90),D12-3,IF(E12&lt;90,D12-4)))))))</f>
      </c>
      <c r="G12" s="53">
        <f>IF(C12="","",IF($F$3="4th-8th",Validation!B12,IF($F$3="3rd",Validation!F12,"")))</f>
      </c>
      <c r="H12" s="54">
        <f t="shared" si="0"/>
      </c>
      <c r="I12" s="33"/>
    </row>
    <row r="13" spans="1:9" ht="23.25">
      <c r="A13" s="33"/>
      <c r="B13" s="130" t="s">
        <v>48</v>
      </c>
      <c r="C13" s="134"/>
      <c r="D13" s="51">
        <f>IF(ISNUMBER(C13),LOOKUP(C13,Lookup!D4:H4,Lookup!$D$1:$H$1),"")</f>
      </c>
      <c r="E13" s="57">
        <f>IF(ISBLANK(C13)=TRUE,"",$E$11)</f>
      </c>
      <c r="F13" s="56">
        <f t="shared" si="1"/>
      </c>
      <c r="G13" s="53">
        <f>IF(C13="","",IF($F$3="4th-8th",Validation!B13,IF($F$3="3rd",Validation!F13,"")))</f>
      </c>
      <c r="H13" s="54">
        <f t="shared" si="0"/>
      </c>
      <c r="I13" s="33"/>
    </row>
    <row r="14" spans="1:9" ht="23.25">
      <c r="A14" s="33"/>
      <c r="B14" s="130" t="s">
        <v>76</v>
      </c>
      <c r="C14" s="134"/>
      <c r="D14" s="51">
        <f>IF(ISNUMBER(C14),LOOKUP(C14,Lookup!D5:H5,Lookup!$D$1:$H$1),"")</f>
      </c>
      <c r="E14" s="57">
        <f>IF(ISBLANK(C14)=TRUE,"",$E$11)</f>
      </c>
      <c r="F14" s="56">
        <f t="shared" si="1"/>
      </c>
      <c r="G14" s="53">
        <f>IF(C14="","",IF($F$3="4th-8th",Validation!B14,IF($F$3="3rd",Validation!F14,"")))</f>
      </c>
      <c r="H14" s="54">
        <f t="shared" si="0"/>
      </c>
      <c r="I14" s="33"/>
    </row>
    <row r="15" spans="1:9" ht="23.25">
      <c r="A15" s="33"/>
      <c r="B15" s="130" t="s">
        <v>64</v>
      </c>
      <c r="C15" s="134"/>
      <c r="D15" s="51">
        <f>IF(ISNUMBER(C15),LOOKUP(C15,Lookup!D6:H6,Lookup!$D$1:$H$1),"")</f>
      </c>
      <c r="E15" s="57">
        <f>IF(ISBLANK(C15)=TRUE,"",$E$11)</f>
      </c>
      <c r="F15" s="56">
        <f t="shared" si="1"/>
      </c>
      <c r="G15" s="53">
        <f>IF(C15="","",IF($F$3="4th-8th",Validation!B15,IF($F$3="3rd",Validation!F15,"")))</f>
      </c>
      <c r="H15" s="54">
        <f t="shared" si="0"/>
      </c>
      <c r="I15" s="33"/>
    </row>
    <row r="16" spans="1:9" ht="23.25">
      <c r="A16" s="33"/>
      <c r="B16" s="130" t="s">
        <v>62</v>
      </c>
      <c r="C16" s="134"/>
      <c r="D16" s="51">
        <f>IF(ISNUMBER(C16),LOOKUP(C16,Lookup!D7:H7,Lookup!$D$1:$H$1),"")</f>
      </c>
      <c r="E16" s="57">
        <f>IF(ISBLANK(C16)=TRUE,"",$E$11)</f>
      </c>
      <c r="F16" s="56">
        <f t="shared" si="1"/>
      </c>
      <c r="G16" s="53">
        <f>IF(C16="","",IF($F$3="4th-8th",Validation!B16,IF($F$3="3rd",Validation!F16,"")))</f>
      </c>
      <c r="H16" s="54">
        <f t="shared" si="0"/>
      </c>
      <c r="I16" s="33"/>
    </row>
    <row r="17" spans="1:9" ht="23.25">
      <c r="A17" s="33"/>
      <c r="B17" s="130" t="s">
        <v>59</v>
      </c>
      <c r="C17" s="134"/>
      <c r="D17" s="51">
        <f>IF(ISNUMBER(C17),LOOKUP(C17,Lookup!D8:H8,Lookup!$D$1:$H$1),"")</f>
      </c>
      <c r="E17" s="57">
        <f>IF(ISBLANK(C17)=TRUE,"",$E$12)</f>
      </c>
      <c r="F17" s="56">
        <f t="shared" si="1"/>
      </c>
      <c r="G17" s="53">
        <f>IF(C17="","",IF($F$3="4th-8th",Validation!B17,IF($F$3="3rd",Validation!F17,"")))</f>
      </c>
      <c r="H17" s="54">
        <f t="shared" si="0"/>
      </c>
      <c r="I17" s="33"/>
    </row>
    <row r="18" spans="1:9" ht="23.25">
      <c r="A18" s="33"/>
      <c r="B18" s="130" t="s">
        <v>77</v>
      </c>
      <c r="C18" s="134"/>
      <c r="D18" s="51">
        <f>IF(ISNUMBER(C18),LOOKUP(C18,Lookup!D9:H9,Lookup!$D$1:$H$1),"")</f>
      </c>
      <c r="E18" s="57">
        <f>IF(ISBLANK(C18)=TRUE,"",$E$12)</f>
      </c>
      <c r="F18" s="56">
        <f t="shared" si="1"/>
      </c>
      <c r="G18" s="53">
        <f>IF(C18="","",IF($F$3="4th-8th",Validation!B18,IF($F$3="3rd",Validation!F18,"")))</f>
      </c>
      <c r="H18" s="54">
        <f t="shared" si="0"/>
      </c>
      <c r="I18" s="33"/>
    </row>
    <row r="19" spans="1:9" ht="23.25">
      <c r="A19" s="33"/>
      <c r="B19" s="130" t="s">
        <v>63</v>
      </c>
      <c r="C19" s="134"/>
      <c r="D19" s="51">
        <f>IF(ISNUMBER(C19),LOOKUP(C19,Lookup!D10:H10,Lookup!$D$1:$H$1),"")</f>
      </c>
      <c r="E19" s="57">
        <f>IF(ISBLANK(C19)=TRUE,"",$E$12)</f>
      </c>
      <c r="F19" s="56">
        <f t="shared" si="1"/>
      </c>
      <c r="G19" s="53">
        <f>IF(C19="","",IF($F$3="4th-8th",Validation!B19,IF($F$3="3rd",Validation!F19,"")))</f>
      </c>
      <c r="H19" s="54">
        <f t="shared" si="0"/>
      </c>
      <c r="I19" s="33"/>
    </row>
    <row r="20" spans="1:9" ht="23.25">
      <c r="A20" s="33"/>
      <c r="B20" s="130" t="s">
        <v>65</v>
      </c>
      <c r="C20" s="134"/>
      <c r="D20" s="51">
        <f>IF(ISNUMBER(C20),LOOKUP(C20,Lookup!D11:H11,Lookup!$D$1:$H$1),"")</f>
      </c>
      <c r="E20" s="57">
        <f>IF(ISBLANK(C20)=TRUE,"",$E$12)</f>
      </c>
      <c r="F20" s="56">
        <f t="shared" si="1"/>
      </c>
      <c r="G20" s="53">
        <f>IF(C20="","",IF($F$3="4th-8th",Validation!B20,IF($F$3="3rd",Validation!F20,"")))</f>
      </c>
      <c r="H20" s="54">
        <f t="shared" si="0"/>
      </c>
      <c r="I20" s="33"/>
    </row>
    <row r="21" spans="1:9" ht="28.5">
      <c r="A21" s="33"/>
      <c r="B21" s="131" t="s">
        <v>72</v>
      </c>
      <c r="C21" s="134"/>
      <c r="D21" s="51">
        <f>IF(ISNUMBER(C21),LOOKUP(C21,Lookup!D12:H12,Lookup!$D$1:$H$1),"")</f>
      </c>
      <c r="E21" s="57">
        <v>100</v>
      </c>
      <c r="F21" s="56">
        <f t="shared" si="1"/>
      </c>
      <c r="G21" s="53">
        <f>IF(C21="","",IF($F$3="4th-8th",Validation!B21,IF($F$3="3rd",Validation!F21,"")))</f>
      </c>
      <c r="H21" s="58">
        <f t="shared" si="0"/>
      </c>
      <c r="I21" s="33"/>
    </row>
    <row r="22" spans="1:9" ht="23.25">
      <c r="A22" s="33"/>
      <c r="B22" s="130" t="s">
        <v>73</v>
      </c>
      <c r="C22" s="134"/>
      <c r="D22" s="51">
        <f>IF(ISNUMBER(C22),LOOKUP(C22,Lookup!D13:H13,Lookup!$D$1:$H$1),"")</f>
      </c>
      <c r="E22" s="57">
        <v>100</v>
      </c>
      <c r="F22" s="56">
        <f t="shared" si="1"/>
      </c>
      <c r="G22" s="53">
        <f>IF(C22="","",IF($F$3="4th-8th",Validation!B22,IF($F$3="3rd",Validation!F22,"")))</f>
      </c>
      <c r="H22" s="58">
        <f t="shared" si="0"/>
      </c>
      <c r="I22" s="33"/>
    </row>
    <row r="23" spans="1:9" ht="23.25">
      <c r="A23" s="33"/>
      <c r="B23" s="130" t="s">
        <v>74</v>
      </c>
      <c r="C23" s="134"/>
      <c r="D23" s="51">
        <f>IF(ISNUMBER(C23),LOOKUP(C23,Lookup!D14:H14,Lookup!$D$1:$H$1),"")</f>
      </c>
      <c r="E23" s="57">
        <v>100</v>
      </c>
      <c r="F23" s="56">
        <f t="shared" si="1"/>
      </c>
      <c r="G23" s="53">
        <f>IF(C23="","",IF($F$3="4th-8th",Validation!B23,IF($F$3="3rd",Validation!F23,"")))</f>
      </c>
      <c r="H23" s="58">
        <f t="shared" si="0"/>
      </c>
      <c r="I23" s="33"/>
    </row>
    <row r="24" spans="1:9" ht="23.25">
      <c r="A24" s="33"/>
      <c r="B24" s="130" t="s">
        <v>53</v>
      </c>
      <c r="C24" s="134"/>
      <c r="D24" s="51">
        <f>IF(ISNUMBER(C24),LOOKUP(C24,Lookup!D15:H15,Lookup!$D$1:$H$1),"")</f>
      </c>
      <c r="E24" s="57">
        <v>100</v>
      </c>
      <c r="F24" s="56">
        <f t="shared" si="1"/>
      </c>
      <c r="G24" s="53">
        <f>IF(C24="","",IF($F$3="4th-8th",Validation!B24,IF($F$3="3rd",Validation!F24,"")))</f>
      </c>
      <c r="H24" s="58">
        <f t="shared" si="0"/>
      </c>
      <c r="I24" s="33"/>
    </row>
    <row r="25" spans="1:9" ht="23.25">
      <c r="A25" s="33"/>
      <c r="B25" s="130" t="s">
        <v>54</v>
      </c>
      <c r="C25" s="134"/>
      <c r="D25" s="51">
        <f>IF(ISNUMBER(C25),LOOKUP(C25,Lookup!D16:H16,Lookup!$D$1:$H$1),"")</f>
      </c>
      <c r="E25" s="57">
        <v>100</v>
      </c>
      <c r="F25" s="56">
        <f t="shared" si="1"/>
      </c>
      <c r="G25" s="53">
        <f>IF(C25="","",IF($F$3="4th-8th",Validation!B25,IF($F$3="3rd",Validation!F25,"")))</f>
      </c>
      <c r="H25" s="58">
        <f t="shared" si="0"/>
      </c>
      <c r="I25" s="33"/>
    </row>
    <row r="26" spans="1:9" ht="23.25">
      <c r="A26" s="33"/>
      <c r="B26" s="130" t="s">
        <v>55</v>
      </c>
      <c r="C26" s="134"/>
      <c r="D26" s="51">
        <f>IF(ISNUMBER(C26),LOOKUP(C26,Lookup!D17:H17,Lookup!$D$1:$H$1),"")</f>
      </c>
      <c r="E26" s="57">
        <v>100</v>
      </c>
      <c r="F26" s="56">
        <f t="shared" si="1"/>
      </c>
      <c r="G26" s="53">
        <f>IF(C26="","",IF($F$3="4th-8th",Validation!B26,IF($F$3="3rd",Validation!F26,"")))</f>
      </c>
      <c r="H26" s="58">
        <f t="shared" si="0"/>
      </c>
      <c r="I26" s="33"/>
    </row>
    <row r="27" spans="1:9" ht="23.25">
      <c r="A27" s="33"/>
      <c r="B27" s="130" t="s">
        <v>56</v>
      </c>
      <c r="C27" s="134"/>
      <c r="D27" s="51">
        <f>IF(ISNUMBER(C27),LOOKUP(C27,Lookup!D18:H18,Lookup!$D$1:$H$1),"")</f>
      </c>
      <c r="E27" s="59" t="s">
        <v>33</v>
      </c>
      <c r="F27" s="56">
        <f>D27</f>
      </c>
      <c r="G27" s="53">
        <f>IF(C27="","",IF($F$3="4th-8th",Validation!B27,IF($F$3="3rd",Validation!F27,"")))</f>
      </c>
      <c r="H27" s="58">
        <f t="shared" si="0"/>
      </c>
      <c r="I27" s="33"/>
    </row>
    <row r="28" spans="1:9" ht="23.25">
      <c r="A28" s="33"/>
      <c r="B28" s="132" t="s">
        <v>75</v>
      </c>
      <c r="C28" s="134"/>
      <c r="D28" s="51">
        <f>IF(ISNUMBER(C28),LOOKUP(C28,Lookup!D19:H19,Lookup!$D$1:$H$1),"")</f>
      </c>
      <c r="E28" s="59" t="s">
        <v>33</v>
      </c>
      <c r="F28" s="56">
        <f>D28</f>
      </c>
      <c r="G28" s="53">
        <f>IF(C28="","",IF($F$3="4th-8th",Validation!B28,IF($F$3="3rd",Validation!F28,"")))</f>
      </c>
      <c r="H28" s="58">
        <f t="shared" si="0"/>
      </c>
      <c r="I28" s="33"/>
    </row>
    <row r="29" spans="1:11" ht="23.25">
      <c r="A29" s="33"/>
      <c r="B29" s="130" t="str">
        <f>IF($F$3="4th-8th","My Voice, My School 5 Essentials Survey (If Not Enough Data, please leave blank)",IF($F$3="2nd","My Voice, My School 5 Essentials Survey (If Not Enough Data, please leave blank)",IF($F$3="3rd","My Voice, My School 5 Essentials Survey (If Not Enough Data, please leave blank)","")))</f>
        <v>My Voice, My School 5 Essentials Survey (If Not Enough Data, please leave blank)</v>
      </c>
      <c r="C29" s="135"/>
      <c r="D29" s="51">
        <f>IF(C29="","",IF(C29="Well Organized",5,IF(C29="Organized",4,IF(C29="Moderately Organized",3,IF(C29="Partially Organized",2,1)))))</f>
      </c>
      <c r="E29" s="59" t="s">
        <v>33</v>
      </c>
      <c r="F29" s="56">
        <f>D29</f>
      </c>
      <c r="G29" s="53">
        <f>IF(C29="","",IF($F$3="4th-8th",Validation!B29,IF($F$3="3rd",Validation!F29,"")))</f>
      </c>
      <c r="H29" s="58">
        <f t="shared" si="0"/>
      </c>
      <c r="I29" s="33"/>
      <c r="K29" s="35"/>
    </row>
    <row r="30" spans="1:9" ht="23.25">
      <c r="A30" s="33"/>
      <c r="B30" s="133" t="str">
        <f>IF($F$3="4th-8th","Data Quality Index Score",IF($F$3="2nd","Data Quality Index Score",IF($F$3="3rd","Data Quality Index Score","")))</f>
        <v>Data Quality Index Score</v>
      </c>
      <c r="C30" s="134"/>
      <c r="D30" s="51">
        <f>IF(ISNUMBER(C30),LOOKUP(C30,Lookup!D21:H21,Lookup!$D$1:$H$1),"")</f>
      </c>
      <c r="E30" s="62" t="s">
        <v>33</v>
      </c>
      <c r="F30" s="61">
        <f>D30</f>
      </c>
      <c r="G30" s="53">
        <f>IF(C30="","",IF($F$3="4th-8th",Validation!B30,IF($F$3="3rd",Validation!F30,"")))</f>
      </c>
      <c r="H30" s="63">
        <f t="shared" si="0"/>
      </c>
      <c r="I30" s="33"/>
    </row>
    <row r="31" spans="1:9" ht="23.25">
      <c r="A31" s="33"/>
      <c r="B31" s="31"/>
      <c r="C31" s="31"/>
      <c r="D31" s="31"/>
      <c r="E31" s="31"/>
      <c r="F31" s="31"/>
      <c r="G31" s="31"/>
      <c r="H31" s="31"/>
      <c r="I31" s="33"/>
    </row>
    <row r="32" spans="1:9" ht="23.25">
      <c r="A32" s="33"/>
      <c r="B32" s="49" t="s">
        <v>17</v>
      </c>
      <c r="C32" s="45" t="str">
        <f>IF(AND(F3="4th-8th",(OR(C11="",C12="",C21="",C22="",C23="",C28=""))),"Not Enough Data",IF(AND(F3="3rd",(OR(C11="",C12="",C21="",C22="",C23="",C28=""))),"Not Enough Data",ROUND(SUM(H11:H30),1)))</f>
        <v>Not Enough Data</v>
      </c>
      <c r="D32" s="37"/>
      <c r="E32" s="136" t="s">
        <v>40</v>
      </c>
      <c r="F32" s="136"/>
      <c r="G32" s="136"/>
      <c r="H32" s="136"/>
      <c r="I32" s="33"/>
    </row>
    <row r="33" spans="1:9" ht="13.5" customHeight="1">
      <c r="A33" s="33"/>
      <c r="B33" s="49"/>
      <c r="C33" s="46"/>
      <c r="D33" s="31"/>
      <c r="E33" s="136"/>
      <c r="F33" s="136"/>
      <c r="G33" s="136"/>
      <c r="H33" s="136"/>
      <c r="I33" s="33"/>
    </row>
    <row r="34" spans="1:9" ht="35.25" customHeight="1">
      <c r="A34" s="33"/>
      <c r="B34" s="49" t="s">
        <v>18</v>
      </c>
      <c r="C34" s="45" t="str">
        <f>IF($C$32="Not Enough Data","No Rating Available",IF(OR(AND($C$22&gt;=90,$C$23&gt;=90),$C$32&gt;=4),"Level 1+",IF(OR(AND($C$22&gt;=70,$C$23&gt;=70),AND($C$32&lt;4,$C$32&gt;=3.5)),"Level 1",IF(OR(AND($C$22&gt;=50,$C$23&gt;=50),AND($C$32&lt;3.5,$C$32&gt;=3)),"Level 2+",IF(OR(AND($C$22&gt;=40,$C$23&gt;=40),AND($C$32&lt;3,$C$32&gt;=2)),"Level 2",IF($C$32&lt;2,"Level 3","No Rating Available"))))))</f>
        <v>No Rating Available</v>
      </c>
      <c r="D34" s="31"/>
      <c r="E34" s="136"/>
      <c r="F34" s="136"/>
      <c r="G34" s="136"/>
      <c r="H34" s="136"/>
      <c r="I34" s="33"/>
    </row>
    <row r="35" spans="1:9" ht="23.25">
      <c r="A35" s="33"/>
      <c r="B35" s="49"/>
      <c r="C35" s="46"/>
      <c r="D35" s="31"/>
      <c r="E35" s="31"/>
      <c r="F35" s="36"/>
      <c r="G35" s="36"/>
      <c r="H35" s="36"/>
      <c r="I35" s="33"/>
    </row>
    <row r="36" spans="1:9" ht="23.25">
      <c r="A36" s="33"/>
      <c r="B36" s="49" t="s">
        <v>23</v>
      </c>
      <c r="C36" s="47"/>
      <c r="D36" s="31"/>
      <c r="E36" s="136" t="s">
        <v>37</v>
      </c>
      <c r="F36" s="136"/>
      <c r="G36" s="136"/>
      <c r="H36" s="136"/>
      <c r="I36" s="33"/>
    </row>
    <row r="37" spans="1:9" ht="23.25">
      <c r="A37" s="33"/>
      <c r="B37" s="49"/>
      <c r="C37" s="46"/>
      <c r="D37" s="31"/>
      <c r="E37" s="136"/>
      <c r="F37" s="136"/>
      <c r="G37" s="136"/>
      <c r="H37" s="136"/>
      <c r="I37" s="33"/>
    </row>
    <row r="38" spans="1:9" ht="23.25">
      <c r="A38" s="33"/>
      <c r="B38" s="49" t="s">
        <v>95</v>
      </c>
      <c r="C38" s="47"/>
      <c r="D38" s="31"/>
      <c r="E38" s="136"/>
      <c r="F38" s="136"/>
      <c r="G38" s="136"/>
      <c r="H38" s="136"/>
      <c r="I38" s="33"/>
    </row>
    <row r="39" spans="1:9" ht="23.25">
      <c r="A39" s="33"/>
      <c r="B39" s="86"/>
      <c r="C39" s="46"/>
      <c r="D39" s="31"/>
      <c r="E39" s="136"/>
      <c r="F39" s="136"/>
      <c r="G39" s="136"/>
      <c r="H39" s="136"/>
      <c r="I39" s="33"/>
    </row>
    <row r="40" spans="1:9" ht="23.25">
      <c r="A40" s="33"/>
      <c r="B40" s="88" t="s">
        <v>96</v>
      </c>
      <c r="C40" s="47"/>
      <c r="D40" s="31"/>
      <c r="E40" s="136"/>
      <c r="F40" s="136"/>
      <c r="G40" s="136"/>
      <c r="H40" s="136"/>
      <c r="I40" s="33"/>
    </row>
    <row r="41" spans="1:9" ht="23.25">
      <c r="A41" s="33"/>
      <c r="B41" s="49"/>
      <c r="C41" s="46"/>
      <c r="D41" s="31"/>
      <c r="E41" s="136"/>
      <c r="F41" s="136"/>
      <c r="G41" s="136"/>
      <c r="H41" s="136"/>
      <c r="I41" s="33"/>
    </row>
    <row r="42" spans="1:9" ht="23.25">
      <c r="A42" s="33"/>
      <c r="B42" s="49" t="s">
        <v>69</v>
      </c>
      <c r="C42" s="47"/>
      <c r="D42" s="31"/>
      <c r="E42" s="136"/>
      <c r="F42" s="136"/>
      <c r="G42" s="136"/>
      <c r="H42" s="136"/>
      <c r="I42" s="33"/>
    </row>
    <row r="43" spans="1:9" ht="23.25">
      <c r="A43" s="33"/>
      <c r="B43" s="49"/>
      <c r="C43" s="46"/>
      <c r="D43" s="31"/>
      <c r="E43" s="37"/>
      <c r="F43" s="37"/>
      <c r="G43" s="37"/>
      <c r="H43" s="37"/>
      <c r="I43" s="33"/>
    </row>
    <row r="44" spans="1:9" ht="23.25" customHeight="1">
      <c r="A44" s="33"/>
      <c r="B44" s="139" t="s">
        <v>19</v>
      </c>
      <c r="C44" s="138" t="str">
        <f>Validation!T12</f>
        <v>Not Enough Data</v>
      </c>
      <c r="D44" s="31"/>
      <c r="E44" s="136" t="s">
        <v>29</v>
      </c>
      <c r="F44" s="136"/>
      <c r="G44" s="136"/>
      <c r="H44" s="136"/>
      <c r="I44" s="33"/>
    </row>
    <row r="45" spans="1:9" ht="23.25">
      <c r="A45" s="33"/>
      <c r="B45" s="139"/>
      <c r="C45" s="138"/>
      <c r="D45" s="31"/>
      <c r="E45" s="136"/>
      <c r="F45" s="136"/>
      <c r="G45" s="136"/>
      <c r="H45" s="136"/>
      <c r="I45" s="33"/>
    </row>
    <row r="46" spans="1:9" ht="23.25">
      <c r="A46" s="33"/>
      <c r="B46" s="31"/>
      <c r="C46" s="31"/>
      <c r="D46" s="31"/>
      <c r="E46" s="31"/>
      <c r="F46" s="31"/>
      <c r="G46" s="31"/>
      <c r="H46" s="31"/>
      <c r="I46" s="33"/>
    </row>
    <row r="47" spans="1:9" ht="23.25" customHeight="1">
      <c r="A47" s="33"/>
      <c r="B47" s="137" t="s">
        <v>35</v>
      </c>
      <c r="C47" s="137"/>
      <c r="D47" s="137"/>
      <c r="E47" s="137"/>
      <c r="F47" s="137"/>
      <c r="G47" s="137"/>
      <c r="H47" s="137"/>
      <c r="I47" s="33"/>
    </row>
    <row r="48" spans="1:9" ht="23.25" customHeight="1">
      <c r="A48" s="33"/>
      <c r="B48" s="137"/>
      <c r="C48" s="137"/>
      <c r="D48" s="137"/>
      <c r="E48" s="137"/>
      <c r="F48" s="137"/>
      <c r="G48" s="137"/>
      <c r="H48" s="137"/>
      <c r="I48" s="33"/>
    </row>
    <row r="49" spans="1:9" ht="8.25" customHeight="1">
      <c r="A49" s="33"/>
      <c r="B49" s="48"/>
      <c r="C49" s="48"/>
      <c r="D49" s="48"/>
      <c r="E49" s="48"/>
      <c r="F49" s="48"/>
      <c r="G49" s="48"/>
      <c r="H49" s="48"/>
      <c r="I49" s="33"/>
    </row>
  </sheetData>
  <sheetProtection/>
  <mergeCells count="12">
    <mergeCell ref="A1:I1"/>
    <mergeCell ref="B6:C7"/>
    <mergeCell ref="B3:B4"/>
    <mergeCell ref="D3:E4"/>
    <mergeCell ref="F3:F4"/>
    <mergeCell ref="E6:H7"/>
    <mergeCell ref="E32:H34"/>
    <mergeCell ref="E44:H45"/>
    <mergeCell ref="B47:H48"/>
    <mergeCell ref="C44:C45"/>
    <mergeCell ref="B44:B45"/>
    <mergeCell ref="E36:H42"/>
  </mergeCells>
  <dataValidations count="8">
    <dataValidation type="list" allowBlank="1" showErrorMessage="1" sqref="C29">
      <formula1>Survey1</formula1>
    </dataValidation>
    <dataValidation type="list" allowBlank="1" showInputMessage="1" showErrorMessage="1" sqref="C36 C40">
      <formula1>Action</formula1>
    </dataValidation>
    <dataValidation type="whole" allowBlank="1" showInputMessage="1" showErrorMessage="1" sqref="C39">
      <formula1>0</formula1>
      <formula2>30</formula2>
    </dataValidation>
    <dataValidation type="list" allowBlank="1" showInputMessage="1" showErrorMessage="1" sqref="C42">
      <formula1>Rating1</formula1>
    </dataValidation>
    <dataValidation type="decimal" allowBlank="1" showInputMessage="1" showErrorMessage="1" errorTitle="Error - Invalid Data" error="Result must be entered as a whole number, including percentages (e.g., 93.4% should be entered as 93.4, not 0.934)." sqref="C26:C28 C30 C21">
      <formula1>0</formula1>
      <formula2>100</formula2>
    </dataValidation>
    <dataValidation type="whole" allowBlank="1" showInputMessage="1" showErrorMessage="1" errorTitle="Error - Invald Data" error="Result must be entered as a whole number, including percentages (e.g., 93% should be entered as 93, not 0.93)." sqref="C11:C20 C22:C25">
      <formula1>0</formula1>
      <formula2>99</formula2>
    </dataValidation>
    <dataValidation type="list" allowBlank="1" showInputMessage="1" showErrorMessage="1" sqref="F3:F4">
      <formula1>grades</formula1>
    </dataValidation>
    <dataValidation type="list" operator="notBetween" allowBlank="1" showInputMessage="1" showErrorMessage="1" sqref="C38">
      <formula1>Action</formula1>
    </dataValidation>
  </dataValidations>
  <printOptions/>
  <pageMargins left="0.25" right="0.25" top="0.75" bottom="0.75" header="0.3" footer="0.3"/>
  <pageSetup fitToHeight="1" fitToWidth="1" horizontalDpi="1200" verticalDpi="1200" orientation="portrait" scale="55" r:id="rId2"/>
  <ignoredErrors>
    <ignoredError sqref="F28" formula="1"/>
    <ignoredError sqref="E13 E17 E14:E16 E18:E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53"/>
  <sheetViews>
    <sheetView zoomScalePageLayoutView="0" workbookViewId="0" topLeftCell="B1">
      <selection activeCell="B14" sqref="B14"/>
    </sheetView>
  </sheetViews>
  <sheetFormatPr defaultColWidth="9.140625" defaultRowHeight="15"/>
  <cols>
    <col min="1" max="1" width="8.7109375" style="0" hidden="1" customWidth="1"/>
    <col min="2" max="2" width="35.7109375" style="0" bestFit="1" customWidth="1"/>
    <col min="3" max="4" width="8.7109375" style="0" hidden="1" customWidth="1"/>
    <col min="5" max="5" width="34.57421875" style="0" bestFit="1" customWidth="1"/>
    <col min="6" max="6" width="28.28125" style="0" bestFit="1" customWidth="1"/>
    <col min="7" max="7" width="8.7109375" style="0" hidden="1" customWidth="1"/>
    <col min="8" max="8" width="33.57421875" style="0" bestFit="1" customWidth="1"/>
    <col min="9" max="9" width="8.7109375" style="0" hidden="1" customWidth="1"/>
    <col min="10" max="10" width="9.00390625" style="0" hidden="1" customWidth="1"/>
    <col min="11" max="12" width="8.7109375" style="0" hidden="1" customWidth="1"/>
    <col min="13" max="13" width="2.8515625" style="0" bestFit="1" customWidth="1"/>
    <col min="14" max="14" width="27.28125" style="0" bestFit="1" customWidth="1"/>
    <col min="15" max="15" width="6.421875" style="0" bestFit="1" customWidth="1"/>
    <col min="16" max="16" width="8.421875" style="0" bestFit="1" customWidth="1"/>
    <col min="17" max="17" width="10.00390625" style="0" bestFit="1" customWidth="1"/>
    <col min="18" max="18" width="9.57421875" style="0" bestFit="1" customWidth="1"/>
    <col min="19" max="19" width="13.140625" style="0" bestFit="1" customWidth="1"/>
    <col min="20" max="20" width="23.421875" style="0" bestFit="1" customWidth="1"/>
    <col min="21" max="21" width="21.8515625" style="0" bestFit="1" customWidth="1"/>
    <col min="22" max="23" width="6.421875" style="0" bestFit="1" customWidth="1"/>
    <col min="24" max="24" width="7.421875" style="0" bestFit="1" customWidth="1"/>
    <col min="25" max="25" width="6.421875" style="0" bestFit="1" customWidth="1"/>
    <col min="26" max="26" width="7.421875" style="0" bestFit="1" customWidth="1"/>
    <col min="27" max="27" width="8.8515625" style="0" bestFit="1" customWidth="1"/>
  </cols>
  <sheetData>
    <row r="1" ht="15.75" thickBot="1"/>
    <row r="2" spans="2:7" ht="15">
      <c r="B2" s="2" t="s">
        <v>12</v>
      </c>
      <c r="C2" s="3"/>
      <c r="D2" s="4"/>
      <c r="F2" s="2" t="s">
        <v>14</v>
      </c>
      <c r="G2" s="4"/>
    </row>
    <row r="3" spans="2:7" ht="15.75" thickBot="1">
      <c r="B3" s="5" t="s">
        <v>7</v>
      </c>
      <c r="C3" s="6"/>
      <c r="D3" s="7"/>
      <c r="F3" s="5" t="s">
        <v>15</v>
      </c>
      <c r="G3" s="7"/>
    </row>
    <row r="4" spans="2:27" ht="15.75" thickBot="1">
      <c r="B4" s="5" t="s">
        <v>8</v>
      </c>
      <c r="C4" s="6"/>
      <c r="D4" s="7"/>
      <c r="F4" s="8" t="s">
        <v>32</v>
      </c>
      <c r="G4" s="10"/>
      <c r="N4" s="38" t="s">
        <v>38</v>
      </c>
      <c r="O4" s="39"/>
      <c r="P4" s="39"/>
      <c r="Q4" s="39" t="s">
        <v>79</v>
      </c>
      <c r="R4" s="39"/>
      <c r="S4" s="39"/>
      <c r="T4" s="39"/>
      <c r="U4" s="39"/>
      <c r="V4" s="39" t="s">
        <v>80</v>
      </c>
      <c r="W4" s="39"/>
      <c r="X4" s="39"/>
      <c r="Y4" s="39"/>
      <c r="Z4" s="39"/>
      <c r="AA4" s="40"/>
    </row>
    <row r="5" spans="2:27" ht="15">
      <c r="B5" s="5" t="s">
        <v>9</v>
      </c>
      <c r="C5" s="6"/>
      <c r="D5" s="7"/>
      <c r="N5" s="24" t="s">
        <v>28</v>
      </c>
      <c r="O5" s="26" t="s">
        <v>27</v>
      </c>
      <c r="P5" s="26" t="s">
        <v>44</v>
      </c>
      <c r="Q5" s="26" t="s">
        <v>26</v>
      </c>
      <c r="R5" s="26" t="s">
        <v>45</v>
      </c>
      <c r="S5" s="26" t="s">
        <v>30</v>
      </c>
      <c r="T5" s="26" t="s">
        <v>78</v>
      </c>
      <c r="U5" s="87" t="s">
        <v>81</v>
      </c>
      <c r="V5" s="26" t="s">
        <v>28</v>
      </c>
      <c r="W5" s="26" t="s">
        <v>27</v>
      </c>
      <c r="X5" s="87" t="s">
        <v>44</v>
      </c>
      <c r="Y5" s="26" t="s">
        <v>26</v>
      </c>
      <c r="Z5" s="87" t="s">
        <v>45</v>
      </c>
      <c r="AA5" s="25" t="s">
        <v>31</v>
      </c>
    </row>
    <row r="6" spans="2:27" ht="15">
      <c r="B6" s="5" t="s">
        <v>10</v>
      </c>
      <c r="C6" s="6"/>
      <c r="D6" s="7"/>
      <c r="N6" s="24">
        <f>IF(SQRP_ES!$C$34="Level 3",1,0)</f>
        <v>0</v>
      </c>
      <c r="O6" s="26">
        <f>IF(SQRP_ES!$C$34="Level 2",1,0)</f>
        <v>0</v>
      </c>
      <c r="P6" s="26">
        <f>IF(SQRP_ES!$C$34="Level 2+",1,0)</f>
        <v>0</v>
      </c>
      <c r="Q6" s="26">
        <f>IF(SQRP_ES!$C$34="Level 1",1,0)</f>
        <v>0</v>
      </c>
      <c r="R6" s="26">
        <f>IF(SQRP_ES!$C$34="Level 1+",1,0)</f>
        <v>0</v>
      </c>
      <c r="S6" s="26">
        <f>IF(SQRP_ES!C36="Y",1,0)</f>
        <v>0</v>
      </c>
      <c r="T6" s="26">
        <f>IF(SQRP_ES!C40="Y",1,0)</f>
        <v>0</v>
      </c>
      <c r="U6" s="26">
        <f>IF(SQRP_ES!C38="Y",1,0)</f>
        <v>0</v>
      </c>
      <c r="V6" s="26">
        <f>IF(SQRP_ES!C42="Level 3",1,0)</f>
        <v>0</v>
      </c>
      <c r="W6" s="26">
        <f>IF(SQRP_ES!$C$42="Level 2",1,0)</f>
        <v>0</v>
      </c>
      <c r="X6" s="26">
        <f>IF(SQRP_ES!$C$42="Level 2+",1,0)</f>
        <v>0</v>
      </c>
      <c r="Y6" s="26">
        <f>IF(SQRP_ES!$C$42="Level 1",1,0)</f>
        <v>0</v>
      </c>
      <c r="Z6" s="26">
        <f>IF(SQRP_ES!$C$42="Level 1+",1,0)</f>
        <v>0</v>
      </c>
      <c r="AA6" s="25">
        <f>IF(SQRP_ES!C34="No Rating Available",1,0)</f>
        <v>1</v>
      </c>
    </row>
    <row r="7" spans="2:27" ht="15">
      <c r="B7" s="5" t="s">
        <v>11</v>
      </c>
      <c r="C7" s="6"/>
      <c r="D7" s="7"/>
      <c r="N7" s="24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5"/>
    </row>
    <row r="8" spans="2:27" ht="15.75" thickBot="1">
      <c r="B8" s="8"/>
      <c r="C8" s="9"/>
      <c r="D8" s="10"/>
      <c r="N8" s="24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5"/>
    </row>
    <row r="9" spans="14:27" ht="15.75" thickBot="1">
      <c r="N9" s="24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5"/>
    </row>
    <row r="10" spans="2:27" ht="25.5" customHeight="1">
      <c r="B10" s="11" t="s">
        <v>13</v>
      </c>
      <c r="C10" s="12"/>
      <c r="D10" s="13"/>
      <c r="F10" s="11" t="s">
        <v>16</v>
      </c>
      <c r="G10" s="12"/>
      <c r="H10" s="13"/>
      <c r="N10" s="24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5"/>
    </row>
    <row r="11" spans="2:27" ht="15">
      <c r="B11" s="68">
        <f>IF(SQRP_ES!$C$11="",,0.125)+IF(SQRP_ES!C13="",0.0125,0)+IF(SQRP_ES!C14="",0.0125,0)+IF(SQRP_ES!C15="",0.0125,0)+IF(SQRP_ES!C16="",0.0125,0)+IF(SQRP_ES!C26="",0.025,0)+IF(SQRP_ES!C29="",0.05,0)+IF(SQRP_ES!C30="",0.025,0)</f>
        <v>0.15</v>
      </c>
      <c r="C11" s="84"/>
      <c r="D11" s="70"/>
      <c r="F11" s="18">
        <f>IF(SQRP_ES!$C$11="",,0.05)+IF(SQRP_ES!C13="",0.0125,0)+IF(SQRP_ES!C14="",0.0125,0)+IF(SQRP_ES!C15="",0.0125,0)+IF(SQRP_ES!C16="",0.0125,0)+IF(SQRP_ES!C26="",0.025,0)+IF(SQRP_ES!C29="",0.05,0)+IF(SQRP_ES!C30="",0.025,0)</f>
        <v>0.15</v>
      </c>
      <c r="G11" s="14"/>
      <c r="H11" s="15"/>
      <c r="N11" s="125"/>
      <c r="O11" s="26"/>
      <c r="P11" s="126"/>
      <c r="Q11" s="26"/>
      <c r="R11" s="126"/>
      <c r="S11" s="26"/>
      <c r="T11" s="26"/>
      <c r="U11" s="26"/>
      <c r="V11" s="26"/>
      <c r="W11" s="26"/>
      <c r="X11" s="26"/>
      <c r="Y11" s="26"/>
      <c r="Z11" s="26"/>
      <c r="AA11" s="25"/>
    </row>
    <row r="12" spans="2:27" ht="15.75" thickBot="1">
      <c r="B12" s="68">
        <f>IF(SQRP_ES!$C$12="",,0.125)+IF(SQRP_ES!C17="",0.0125,0)+IF(SQRP_ES!C18="",0.0125,0)+IF(SQRP_ES!C19="",0.0125,0)+IF(SQRP_ES!C20="",0.0125,0)+IF(SQRP_ES!C26="",0.025,0)+IF(SQRP_ES!C29="",0.05,0)+IF(SQRP_ES!C30="",0.025,0)</f>
        <v>0.15</v>
      </c>
      <c r="C12" s="69"/>
      <c r="D12" s="70"/>
      <c r="F12" s="18">
        <f>IF(SQRP_ES!$C$12="",,0.05)+IF(SQRP_ES!C17="",0.0125,0)+IF(SQRP_ES!C18="",0.0125,0)+IF(SQRP_ES!C19="",0.0125,0)+IF(SQRP_ES!C20="",0.0125,0)+IF(SQRP_ES!C26="",0.025,0)+IF(SQRP_ES!C29="",0.05,0)+IF(SQRP_ES!C30="",0.025,0)</f>
        <v>0.15</v>
      </c>
      <c r="G12" s="14"/>
      <c r="H12" s="15"/>
      <c r="K12" s="74"/>
      <c r="L12" s="76"/>
      <c r="N12" s="123"/>
      <c r="O12" s="124"/>
      <c r="P12" s="128"/>
      <c r="Q12" s="128"/>
      <c r="R12" s="128"/>
      <c r="S12" s="127"/>
      <c r="T12" s="41" t="str">
        <f>#VALUE!</f>
        <v>Not Enough Data</v>
      </c>
      <c r="U12" s="41"/>
      <c r="V12" s="42"/>
      <c r="W12" s="42"/>
      <c r="X12" s="42"/>
      <c r="Y12" s="42"/>
      <c r="Z12" s="42"/>
      <c r="AA12" s="19"/>
    </row>
    <row r="13" spans="2:12" ht="15">
      <c r="B13" s="68">
        <f>IF(SQRP_ES!$C$13="","",0.0125)</f>
      </c>
      <c r="C13" s="69"/>
      <c r="D13" s="70"/>
      <c r="F13" s="18">
        <f>IF(SQRP_ES!$C$13="","",0.0125)</f>
      </c>
      <c r="G13" s="14"/>
      <c r="H13" s="15"/>
      <c r="K13" s="74"/>
      <c r="L13" s="76"/>
    </row>
    <row r="14" spans="2:8" ht="14.25" customHeight="1">
      <c r="B14" s="68">
        <f>IF(SQRP_ES!$C$14="","",0.0125)</f>
      </c>
      <c r="C14" s="69"/>
      <c r="D14" s="70"/>
      <c r="F14" s="18">
        <f>IF(SQRP_ES!$C$14="","",0.0125)</f>
      </c>
      <c r="G14" s="14"/>
      <c r="H14" s="15"/>
    </row>
    <row r="15" spans="2:24" ht="15">
      <c r="B15" s="68">
        <f>IF(SQRP_ES!$C$15="","",0.0125)</f>
      </c>
      <c r="C15" s="69"/>
      <c r="D15" s="70"/>
      <c r="F15" s="18">
        <f>IF(SQRP_ES!$C$15="","",0.0125)</f>
      </c>
      <c r="G15" s="14"/>
      <c r="H15" s="15"/>
      <c r="N15" s="111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2:24" ht="15" customHeight="1">
      <c r="B16" s="68">
        <f>IF(SQRP_ES!$C$16="","",0.0125)</f>
      </c>
      <c r="C16" s="69"/>
      <c r="D16" s="70"/>
      <c r="F16" s="18">
        <f>IF(SQRP_ES!$C$16="","",0.0125)</f>
      </c>
      <c r="G16" s="14"/>
      <c r="H16" s="15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2:24" ht="15">
      <c r="B17" s="68">
        <f>IF(SQRP_ES!$C$17="","",0.0125)</f>
      </c>
      <c r="C17" s="69"/>
      <c r="D17" s="70"/>
      <c r="F17" s="18">
        <f>IF(SQRP_ES!$C$17="","",0.0125)</f>
      </c>
      <c r="G17" s="14"/>
      <c r="H17" s="15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2:24" ht="15">
      <c r="B18" s="68">
        <f>IF(SQRP_ES!$C$18="","",0.0125)</f>
      </c>
      <c r="C18" s="69"/>
      <c r="D18" s="70"/>
      <c r="F18" s="18">
        <f>IF(SQRP_ES!$C$18="","",0.0125)</f>
      </c>
      <c r="G18" s="14"/>
      <c r="H18" s="15"/>
      <c r="K18" s="76"/>
      <c r="L18" s="76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2:24" ht="15">
      <c r="B19" s="68">
        <f>IF(SQRP_ES!$C$19="","",0.0125)</f>
      </c>
      <c r="C19" s="69"/>
      <c r="D19" s="70"/>
      <c r="F19" s="18">
        <f>IF(SQRP_ES!$C$19="","",0.0125)</f>
      </c>
      <c r="G19" s="14"/>
      <c r="H19" s="15"/>
      <c r="K19" s="76"/>
      <c r="L19" s="74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2:24" ht="15">
      <c r="B20" s="68">
        <f>IF(SQRP_ES!$C$20="","",0.0125)</f>
      </c>
      <c r="C20" s="69"/>
      <c r="D20" s="70"/>
      <c r="F20" s="18">
        <f>IF(SQRP_ES!$C$20="","",0.0125)</f>
      </c>
      <c r="G20" s="14"/>
      <c r="H20" s="15"/>
      <c r="K20" s="76"/>
      <c r="L20" s="74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</row>
    <row r="21" spans="2:24" ht="15">
      <c r="B21" s="68">
        <f>IF(SQRP_ES!$C$21="","",0.1)</f>
      </c>
      <c r="C21" s="69"/>
      <c r="D21" s="70"/>
      <c r="F21" s="18">
        <f>IF(SQRP_ES!$C$21="","",0.1)</f>
      </c>
      <c r="G21" s="14"/>
      <c r="H21" s="15"/>
      <c r="K21" s="74"/>
      <c r="L21" s="76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</row>
    <row r="22" spans="2:24" ht="15">
      <c r="B22" s="68">
        <f>IF(SQRP_ES!$C$22="",0,0.05)+IF(SQRP_ES!C24="",0.025,0)</f>
        <v>0.025</v>
      </c>
      <c r="C22" s="69"/>
      <c r="D22" s="70"/>
      <c r="F22" s="18">
        <f>IF(SQRP_ES!$C$22="",0,0.025)+IF(SQRP_ES!C24="",0.05,0)</f>
        <v>0.05</v>
      </c>
      <c r="G22" s="14"/>
      <c r="H22" s="15"/>
      <c r="K22" s="74"/>
      <c r="L22" s="76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</row>
    <row r="23" spans="2:24" ht="15">
      <c r="B23" s="68">
        <f>IF(SQRP_ES!$C$23="",0,0.05)+IF(SQRP_ES!C25="",0.025,0)</f>
        <v>0.025</v>
      </c>
      <c r="C23" s="69"/>
      <c r="D23" s="70"/>
      <c r="F23" s="18">
        <f>IF(SQRP_ES!$C$23="",0,0.025)+IF(SQRP_ES!C25="",0.05,0)</f>
        <v>0.05</v>
      </c>
      <c r="G23" s="14"/>
      <c r="H23" s="15"/>
      <c r="K23" s="76"/>
      <c r="L23" s="76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2:24" ht="15">
      <c r="B24" s="68">
        <f>IF(SQRP_ES!$C$24="","",0.025)</f>
      </c>
      <c r="C24" s="69"/>
      <c r="D24" s="70"/>
      <c r="F24" s="18">
        <f>IF(SQRP_ES!$C$24="","",0.05)</f>
      </c>
      <c r="G24" s="14"/>
      <c r="H24" s="15"/>
      <c r="K24" s="76"/>
      <c r="L24" s="76"/>
      <c r="M24" s="113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2:24" ht="15">
      <c r="B25" s="68">
        <f>IF(SQRP_ES!$C$25="","",0.025)</f>
      </c>
      <c r="C25" s="69"/>
      <c r="D25" s="70"/>
      <c r="F25" s="18">
        <f>IF(SQRP_ES!$C$25="","",0.05)</f>
      </c>
      <c r="G25" s="14"/>
      <c r="H25" s="15"/>
      <c r="K25" s="76"/>
      <c r="L25" s="76"/>
      <c r="M25" s="113"/>
      <c r="N25" s="113" t="s">
        <v>82</v>
      </c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2:24" ht="34.5" customHeight="1">
      <c r="B26" s="68">
        <f>IF(SQRP_ES!$C$26="","",0.05)</f>
      </c>
      <c r="C26" s="69"/>
      <c r="D26" s="70"/>
      <c r="F26" s="18">
        <f>IF(SQRP_ES!$C$26="","",0.05)</f>
      </c>
      <c r="G26" s="14"/>
      <c r="H26" s="15"/>
      <c r="K26" s="76"/>
      <c r="L26" s="76"/>
      <c r="M26" s="115"/>
      <c r="N26" s="116" t="s">
        <v>83</v>
      </c>
      <c r="O26" s="116" t="s">
        <v>30</v>
      </c>
      <c r="P26" s="116" t="s">
        <v>84</v>
      </c>
      <c r="Q26" s="116" t="s">
        <v>85</v>
      </c>
      <c r="R26" s="116" t="s">
        <v>86</v>
      </c>
      <c r="S26" s="117" t="s">
        <v>87</v>
      </c>
      <c r="T26" s="115"/>
      <c r="U26" s="115"/>
      <c r="V26" s="115"/>
      <c r="W26" s="115"/>
      <c r="X26" s="115"/>
    </row>
    <row r="27" spans="2:24" ht="15">
      <c r="B27" s="68">
        <f>IF(SQRP_ES!$C$27="","",0.1)</f>
      </c>
      <c r="C27" s="69"/>
      <c r="D27" s="70"/>
      <c r="F27" s="18">
        <f>IF(SQRP_ES!$C$27="","",0.1)</f>
      </c>
      <c r="G27" s="14"/>
      <c r="H27" s="15"/>
      <c r="K27" s="76"/>
      <c r="L27" s="76"/>
      <c r="M27" s="113">
        <v>1</v>
      </c>
      <c r="N27" s="118">
        <v>3</v>
      </c>
      <c r="O27" s="118" t="s">
        <v>93</v>
      </c>
      <c r="P27" s="118" t="s">
        <v>93</v>
      </c>
      <c r="Q27" s="118" t="s">
        <v>93</v>
      </c>
      <c r="R27" s="118" t="s">
        <v>93</v>
      </c>
      <c r="S27" s="119" t="s">
        <v>84</v>
      </c>
      <c r="T27" s="113"/>
      <c r="U27" s="113"/>
      <c r="V27" s="113"/>
      <c r="W27" s="113"/>
      <c r="X27" s="113"/>
    </row>
    <row r="28" spans="2:24" ht="15">
      <c r="B28" s="68">
        <f>IF(SQRP_ES!$C$28="",0,0.1)+IF(SQRP_ES!C27="",0.1,0)</f>
        <v>0.1</v>
      </c>
      <c r="C28" s="69"/>
      <c r="D28" s="70"/>
      <c r="F28" s="18">
        <f>IF(SQRP_ES!$C$28="",0,0.25)+IF(SQRP_ES!C27="",0.1,0)</f>
        <v>0.1</v>
      </c>
      <c r="G28" s="14"/>
      <c r="H28" s="15"/>
      <c r="M28" s="113">
        <v>2</v>
      </c>
      <c r="N28" s="118">
        <v>2</v>
      </c>
      <c r="O28" s="118" t="s">
        <v>24</v>
      </c>
      <c r="P28" s="118" t="s">
        <v>93</v>
      </c>
      <c r="Q28" s="118" t="s">
        <v>93</v>
      </c>
      <c r="R28" s="118" t="s">
        <v>93</v>
      </c>
      <c r="S28" s="119" t="s">
        <v>84</v>
      </c>
      <c r="T28" s="113"/>
      <c r="U28" s="113"/>
      <c r="V28" s="113"/>
      <c r="W28" s="113"/>
      <c r="X28" s="113"/>
    </row>
    <row r="29" spans="2:24" ht="15">
      <c r="B29" s="68">
        <f>IF(SQRP_ES!$C$29="","",0.1)</f>
      </c>
      <c r="C29" s="69"/>
      <c r="D29" s="70"/>
      <c r="F29" s="18">
        <f>IF(SQRP_ES!$C$29="","",0.1)</f>
      </c>
      <c r="G29" s="14"/>
      <c r="H29" s="15"/>
      <c r="M29" s="113">
        <v>3</v>
      </c>
      <c r="N29" s="118">
        <v>2</v>
      </c>
      <c r="O29" s="118" t="s">
        <v>25</v>
      </c>
      <c r="P29" s="118" t="s">
        <v>24</v>
      </c>
      <c r="Q29" s="118" t="s">
        <v>93</v>
      </c>
      <c r="R29" s="118">
        <v>3</v>
      </c>
      <c r="S29" s="119" t="s">
        <v>84</v>
      </c>
      <c r="T29" s="113"/>
      <c r="U29" s="113"/>
      <c r="V29" s="113"/>
      <c r="W29" s="113"/>
      <c r="X29" s="113"/>
    </row>
    <row r="30" spans="2:24" ht="15.75" thickBot="1">
      <c r="B30" s="71">
        <f>IF(SQRP_ES!$C$30="","",0.05)</f>
      </c>
      <c r="C30" s="72"/>
      <c r="D30" s="73"/>
      <c r="F30" s="85">
        <f>IF(SQRP_ES!$C$30="","",0.05)</f>
      </c>
      <c r="G30" s="16"/>
      <c r="H30" s="17"/>
      <c r="M30" s="113">
        <v>4</v>
      </c>
      <c r="N30" s="118">
        <v>2</v>
      </c>
      <c r="O30" s="118" t="s">
        <v>25</v>
      </c>
      <c r="P30" s="118" t="s">
        <v>24</v>
      </c>
      <c r="Q30" s="118" t="s">
        <v>93</v>
      </c>
      <c r="R30" s="118" t="s">
        <v>88</v>
      </c>
      <c r="S30" s="119" t="s">
        <v>89</v>
      </c>
      <c r="T30" s="113"/>
      <c r="U30" s="113"/>
      <c r="V30" s="113"/>
      <c r="W30" s="113"/>
      <c r="X30" s="113"/>
    </row>
    <row r="31" spans="13:24" ht="15">
      <c r="M31" s="113">
        <v>5</v>
      </c>
      <c r="N31" s="118">
        <v>2</v>
      </c>
      <c r="O31" s="118" t="s">
        <v>25</v>
      </c>
      <c r="P31" s="118" t="s">
        <v>25</v>
      </c>
      <c r="Q31" s="118" t="s">
        <v>93</v>
      </c>
      <c r="R31" s="118" t="s">
        <v>93</v>
      </c>
      <c r="S31" s="119" t="s">
        <v>89</v>
      </c>
      <c r="T31" s="113"/>
      <c r="U31" s="113"/>
      <c r="V31" s="113"/>
      <c r="W31" s="113"/>
      <c r="X31" s="113"/>
    </row>
    <row r="32" spans="2:24" ht="15">
      <c r="B32" s="92"/>
      <c r="E32" s="92"/>
      <c r="H32" s="102"/>
      <c r="M32" s="113">
        <v>6</v>
      </c>
      <c r="N32" s="118" t="s">
        <v>90</v>
      </c>
      <c r="O32" s="118" t="s">
        <v>24</v>
      </c>
      <c r="P32" s="118" t="s">
        <v>93</v>
      </c>
      <c r="Q32" s="118" t="s">
        <v>93</v>
      </c>
      <c r="R32" s="118" t="s">
        <v>93</v>
      </c>
      <c r="S32" s="119" t="s">
        <v>84</v>
      </c>
      <c r="T32" s="113"/>
      <c r="U32" s="113"/>
      <c r="V32" s="113"/>
      <c r="W32" s="113"/>
      <c r="X32" s="113"/>
    </row>
    <row r="33" spans="1:24" ht="15" customHeight="1">
      <c r="A33" s="108"/>
      <c r="B33" s="94" t="s">
        <v>20</v>
      </c>
      <c r="C33" s="94"/>
      <c r="D33" s="100"/>
      <c r="E33" s="106" t="s">
        <v>21</v>
      </c>
      <c r="F33" s="90"/>
      <c r="G33" s="100"/>
      <c r="H33" s="90" t="s">
        <v>22</v>
      </c>
      <c r="I33" s="107"/>
      <c r="J33" s="108"/>
      <c r="K33" s="109"/>
      <c r="M33" s="113">
        <v>7</v>
      </c>
      <c r="N33" s="118" t="s">
        <v>90</v>
      </c>
      <c r="O33" s="118" t="s">
        <v>25</v>
      </c>
      <c r="P33" s="118" t="s">
        <v>24</v>
      </c>
      <c r="Q33" s="118" t="s">
        <v>93</v>
      </c>
      <c r="R33" s="118">
        <v>3</v>
      </c>
      <c r="S33" s="119" t="s">
        <v>84</v>
      </c>
      <c r="T33" s="113"/>
      <c r="U33" s="113"/>
      <c r="V33" s="113"/>
      <c r="W33" s="113"/>
      <c r="X33" s="113"/>
    </row>
    <row r="34" spans="1:24" ht="15">
      <c r="A34" s="102"/>
      <c r="B34" s="105">
        <f>SUM(SQRP_ES!H11:H30)</f>
        <v>0</v>
      </c>
      <c r="C34" s="91"/>
      <c r="D34" s="101"/>
      <c r="E34" s="93" t="str">
        <f>IF(SQRP_ES!C22="","No Points Earned",IF(SQRP_ES!C28="","No Points Earned",SUM(SQRP_ES!H22:H30)))</f>
        <v>No Points Earned</v>
      </c>
      <c r="F34" s="105"/>
      <c r="G34" s="105"/>
      <c r="H34" s="105" t="str">
        <f>IF(SQRP_ES!C11="","No Points Earned",IF(SQRP_ES!C12="","No Points Earned",IF(SQRP_ES!C21="","No Points Earned",IF(SQRP_ES!C22="","No Points Earned",IF(SQRP_ES!C23="","No Points Earned",SUM(SQRP_ES!H11:H30))))))</f>
        <v>No Points Earned</v>
      </c>
      <c r="I34" s="95"/>
      <c r="J34" s="103"/>
      <c r="M34" s="113">
        <v>8</v>
      </c>
      <c r="N34" s="118" t="s">
        <v>90</v>
      </c>
      <c r="O34" s="118" t="s">
        <v>25</v>
      </c>
      <c r="P34" s="118" t="s">
        <v>24</v>
      </c>
      <c r="Q34" s="118" t="s">
        <v>93</v>
      </c>
      <c r="R34" s="118">
        <v>2</v>
      </c>
      <c r="S34" s="119" t="s">
        <v>89</v>
      </c>
      <c r="T34" s="113"/>
      <c r="U34" s="113"/>
      <c r="V34" s="113"/>
      <c r="W34" s="113"/>
      <c r="X34" s="113"/>
    </row>
    <row r="35" spans="1:24" ht="15">
      <c r="A35" s="102"/>
      <c r="C35" s="96"/>
      <c r="D35" s="97"/>
      <c r="E35" s="99"/>
      <c r="F35" s="98"/>
      <c r="G35" s="99"/>
      <c r="H35" s="99"/>
      <c r="J35" s="104"/>
      <c r="M35" s="113">
        <v>9</v>
      </c>
      <c r="N35" s="118" t="s">
        <v>90</v>
      </c>
      <c r="O35" s="118" t="s">
        <v>25</v>
      </c>
      <c r="P35" s="118" t="s">
        <v>24</v>
      </c>
      <c r="Q35" s="118" t="s">
        <v>93</v>
      </c>
      <c r="R35" s="118" t="s">
        <v>90</v>
      </c>
      <c r="S35" s="119" t="s">
        <v>91</v>
      </c>
      <c r="T35" s="113"/>
      <c r="U35" s="113"/>
      <c r="V35" s="113"/>
      <c r="W35" s="113"/>
      <c r="X35" s="113"/>
    </row>
    <row r="36" spans="5:24" ht="15.75" thickBot="1">
      <c r="E36" s="110"/>
      <c r="M36" s="113">
        <v>10</v>
      </c>
      <c r="N36" s="118" t="s">
        <v>90</v>
      </c>
      <c r="O36" s="118" t="s">
        <v>25</v>
      </c>
      <c r="P36" s="118" t="s">
        <v>25</v>
      </c>
      <c r="Q36" s="118" t="s">
        <v>24</v>
      </c>
      <c r="R36" s="118" t="s">
        <v>92</v>
      </c>
      <c r="S36" s="119" t="s">
        <v>89</v>
      </c>
      <c r="T36" s="113"/>
      <c r="U36" s="113"/>
      <c r="V36" s="113"/>
      <c r="W36" s="113"/>
      <c r="X36" s="113"/>
    </row>
    <row r="37" spans="2:24" ht="15">
      <c r="B37" s="149" t="s">
        <v>94</v>
      </c>
      <c r="C37" s="150"/>
      <c r="E37" s="151" t="s">
        <v>69</v>
      </c>
      <c r="F37" s="152"/>
      <c r="M37" s="113">
        <v>11</v>
      </c>
      <c r="N37" s="118" t="s">
        <v>90</v>
      </c>
      <c r="O37" s="118" t="s">
        <v>25</v>
      </c>
      <c r="P37" s="118" t="s">
        <v>25</v>
      </c>
      <c r="Q37" s="118" t="s">
        <v>24</v>
      </c>
      <c r="R37" s="118" t="s">
        <v>90</v>
      </c>
      <c r="S37" s="119" t="s">
        <v>91</v>
      </c>
      <c r="T37" s="113"/>
      <c r="U37" s="113"/>
      <c r="V37" s="113"/>
      <c r="W37" s="113"/>
      <c r="X37" s="113"/>
    </row>
    <row r="38" spans="2:24" ht="15">
      <c r="B38" s="20" t="s">
        <v>24</v>
      </c>
      <c r="C38" s="21"/>
      <c r="E38" s="27" t="s">
        <v>45</v>
      </c>
      <c r="F38" s="28"/>
      <c r="M38" s="113">
        <v>12</v>
      </c>
      <c r="N38" s="118" t="s">
        <v>90</v>
      </c>
      <c r="O38" s="118" t="s">
        <v>25</v>
      </c>
      <c r="P38" s="118" t="s">
        <v>25</v>
      </c>
      <c r="Q38" s="118" t="s">
        <v>25</v>
      </c>
      <c r="R38" s="118" t="s">
        <v>93</v>
      </c>
      <c r="S38" s="119" t="s">
        <v>91</v>
      </c>
      <c r="T38" s="113"/>
      <c r="U38" s="113"/>
      <c r="V38" s="113"/>
      <c r="W38" s="113"/>
      <c r="X38" s="113"/>
    </row>
    <row r="39" spans="2:24" ht="15.75" thickBot="1">
      <c r="B39" s="22" t="s">
        <v>25</v>
      </c>
      <c r="C39" s="23"/>
      <c r="E39" s="27" t="s">
        <v>26</v>
      </c>
      <c r="F39" s="28"/>
      <c r="M39" s="113"/>
      <c r="N39" s="118"/>
      <c r="O39" s="118"/>
      <c r="P39" s="118"/>
      <c r="Q39" s="118"/>
      <c r="R39" s="118"/>
      <c r="S39" s="113"/>
      <c r="T39" s="113"/>
      <c r="U39" s="113"/>
      <c r="V39" s="113"/>
      <c r="W39" s="113"/>
      <c r="X39" s="113"/>
    </row>
    <row r="40" spans="5:24" ht="15">
      <c r="E40" s="27" t="s">
        <v>44</v>
      </c>
      <c r="F40" s="28"/>
      <c r="M40" s="113"/>
      <c r="N40" s="118"/>
      <c r="O40" s="118"/>
      <c r="P40" s="118"/>
      <c r="Q40" s="118"/>
      <c r="R40" s="118"/>
      <c r="S40" s="113"/>
      <c r="T40" s="113"/>
      <c r="U40" s="113"/>
      <c r="V40" s="113"/>
      <c r="W40" s="113"/>
      <c r="X40" s="113"/>
    </row>
    <row r="41" spans="5:24" ht="15.75" customHeight="1" thickBot="1">
      <c r="E41" s="29" t="s">
        <v>27</v>
      </c>
      <c r="F41" s="30"/>
      <c r="M41" s="113">
        <v>1</v>
      </c>
      <c r="N41" s="120" t="str">
        <f>#VALUE!</f>
        <v>Not Enough Data</v>
      </c>
      <c r="O41" s="121"/>
      <c r="P41" s="121"/>
      <c r="Q41" s="121"/>
      <c r="R41" s="121"/>
      <c r="S41" s="121"/>
      <c r="T41" s="121"/>
      <c r="U41" s="121"/>
      <c r="V41" s="121"/>
      <c r="W41" s="121"/>
      <c r="X41" s="121"/>
    </row>
    <row r="42" spans="5:24" ht="15">
      <c r="E42" s="27" t="s">
        <v>28</v>
      </c>
      <c r="F42" s="28"/>
      <c r="M42" s="113">
        <v>2</v>
      </c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</row>
    <row r="43" spans="5:24" ht="15.75" thickBot="1">
      <c r="E43" s="29" t="s">
        <v>34</v>
      </c>
      <c r="F43" s="30"/>
      <c r="M43" s="113">
        <v>3</v>
      </c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</row>
    <row r="44" spans="13:24" ht="15">
      <c r="M44" s="113">
        <v>4</v>
      </c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3:24" ht="15">
      <c r="M45" s="113">
        <v>5</v>
      </c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</row>
    <row r="46" spans="13:24" ht="15">
      <c r="M46" s="113">
        <v>6</v>
      </c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3:24" ht="15">
      <c r="M47" s="113">
        <v>7</v>
      </c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3:24" ht="15">
      <c r="M48" s="113">
        <v>8</v>
      </c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3:24" ht="15">
      <c r="M49" s="113">
        <v>9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3:24" ht="15">
      <c r="M50" s="113">
        <v>10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3:24" ht="15">
      <c r="M51" s="113">
        <v>11</v>
      </c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</row>
    <row r="52" spans="13:24" ht="15">
      <c r="M52" s="113">
        <v>12</v>
      </c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</row>
    <row r="53" spans="13:24" ht="15">
      <c r="M53" s="113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</row>
  </sheetData>
  <sheetProtection/>
  <mergeCells count="2">
    <mergeCell ref="B37:C37"/>
    <mergeCell ref="E37:F3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83.28125" style="0" bestFit="1" customWidth="1"/>
    <col min="2" max="3" width="33.00390625" style="0" customWidth="1"/>
    <col min="10" max="14" width="8.7109375" style="26" customWidth="1"/>
  </cols>
  <sheetData>
    <row r="1" spans="1:8" ht="15">
      <c r="A1" s="64" t="s">
        <v>49</v>
      </c>
      <c r="B1" s="64" t="s">
        <v>97</v>
      </c>
      <c r="C1" s="64" t="s">
        <v>98</v>
      </c>
      <c r="D1" s="65">
        <v>1</v>
      </c>
      <c r="E1" s="65">
        <v>2</v>
      </c>
      <c r="F1" s="65">
        <v>3</v>
      </c>
      <c r="G1" s="65">
        <v>4</v>
      </c>
      <c r="H1" s="65">
        <v>5</v>
      </c>
    </row>
    <row r="2" spans="1:8" ht="15">
      <c r="A2" s="50" t="s">
        <v>46</v>
      </c>
      <c r="B2" s="75">
        <v>0.125</v>
      </c>
      <c r="C2" s="77">
        <v>0.05</v>
      </c>
      <c r="D2" s="66">
        <v>0</v>
      </c>
      <c r="E2" s="66">
        <v>10</v>
      </c>
      <c r="F2" s="66">
        <v>40</v>
      </c>
      <c r="G2" s="66">
        <v>70</v>
      </c>
      <c r="H2" s="66">
        <v>90</v>
      </c>
    </row>
    <row r="3" spans="1:8" ht="15">
      <c r="A3" s="55" t="s">
        <v>47</v>
      </c>
      <c r="B3" s="75">
        <v>0.125</v>
      </c>
      <c r="C3" s="77">
        <v>0.05</v>
      </c>
      <c r="D3" s="66">
        <v>0</v>
      </c>
      <c r="E3" s="66">
        <v>10</v>
      </c>
      <c r="F3" s="66">
        <v>40</v>
      </c>
      <c r="G3" s="66">
        <v>70</v>
      </c>
      <c r="H3" s="66">
        <v>90</v>
      </c>
    </row>
    <row r="4" spans="1:8" ht="38.25">
      <c r="A4" s="55" t="s">
        <v>48</v>
      </c>
      <c r="B4" s="78" t="s">
        <v>66</v>
      </c>
      <c r="C4" s="79" t="s">
        <v>66</v>
      </c>
      <c r="D4" s="66">
        <v>0</v>
      </c>
      <c r="E4" s="66">
        <v>10</v>
      </c>
      <c r="F4" s="66">
        <v>30</v>
      </c>
      <c r="G4" s="66">
        <v>50</v>
      </c>
      <c r="H4" s="66">
        <v>70</v>
      </c>
    </row>
    <row r="5" spans="1:8" ht="38.25">
      <c r="A5" s="55" t="s">
        <v>61</v>
      </c>
      <c r="B5" s="78" t="s">
        <v>66</v>
      </c>
      <c r="C5" s="78" t="s">
        <v>66</v>
      </c>
      <c r="D5" s="66">
        <v>0</v>
      </c>
      <c r="E5" s="66">
        <v>10</v>
      </c>
      <c r="F5" s="66">
        <v>30</v>
      </c>
      <c r="G5" s="66">
        <v>50</v>
      </c>
      <c r="H5" s="66">
        <v>70</v>
      </c>
    </row>
    <row r="6" spans="1:8" ht="38.25">
      <c r="A6" s="55" t="s">
        <v>64</v>
      </c>
      <c r="B6" s="78" t="s">
        <v>66</v>
      </c>
      <c r="C6" s="79" t="s">
        <v>66</v>
      </c>
      <c r="D6" s="66">
        <v>0</v>
      </c>
      <c r="E6" s="66">
        <v>10</v>
      </c>
      <c r="F6" s="66">
        <v>30</v>
      </c>
      <c r="G6" s="66">
        <v>50</v>
      </c>
      <c r="H6" s="66">
        <v>70</v>
      </c>
    </row>
    <row r="7" spans="1:8" ht="51">
      <c r="A7" s="55" t="s">
        <v>62</v>
      </c>
      <c r="B7" s="80" t="s">
        <v>66</v>
      </c>
      <c r="C7" s="80" t="s">
        <v>68</v>
      </c>
      <c r="D7" s="66">
        <v>0</v>
      </c>
      <c r="E7" s="66">
        <v>10</v>
      </c>
      <c r="F7" s="66">
        <v>30</v>
      </c>
      <c r="G7" s="66">
        <v>50</v>
      </c>
      <c r="H7" s="66">
        <v>70</v>
      </c>
    </row>
    <row r="8" spans="1:8" ht="38.25">
      <c r="A8" s="55" t="s">
        <v>59</v>
      </c>
      <c r="B8" s="77" t="s">
        <v>66</v>
      </c>
      <c r="C8" s="77" t="s">
        <v>66</v>
      </c>
      <c r="D8" s="66">
        <v>0</v>
      </c>
      <c r="E8" s="66">
        <v>10</v>
      </c>
      <c r="F8" s="66">
        <v>30</v>
      </c>
      <c r="G8" s="66">
        <v>50</v>
      </c>
      <c r="H8" s="66">
        <v>70</v>
      </c>
    </row>
    <row r="9" spans="1:8" ht="38.25">
      <c r="A9" s="55" t="s">
        <v>60</v>
      </c>
      <c r="B9" s="77" t="s">
        <v>66</v>
      </c>
      <c r="C9" s="75" t="s">
        <v>66</v>
      </c>
      <c r="D9" s="66">
        <v>0</v>
      </c>
      <c r="E9" s="66">
        <v>10</v>
      </c>
      <c r="F9" s="66">
        <v>30</v>
      </c>
      <c r="G9" s="66">
        <v>50</v>
      </c>
      <c r="H9" s="66">
        <v>70</v>
      </c>
    </row>
    <row r="10" spans="1:8" ht="38.25">
      <c r="A10" s="55" t="s">
        <v>63</v>
      </c>
      <c r="B10" s="77" t="s">
        <v>66</v>
      </c>
      <c r="C10" s="75" t="s">
        <v>66</v>
      </c>
      <c r="D10" s="66">
        <v>0</v>
      </c>
      <c r="E10" s="66">
        <v>10</v>
      </c>
      <c r="F10" s="66">
        <v>30</v>
      </c>
      <c r="G10" s="66">
        <v>50</v>
      </c>
      <c r="H10" s="66">
        <v>70</v>
      </c>
    </row>
    <row r="11" spans="1:14" ht="38.25">
      <c r="A11" s="55" t="s">
        <v>65</v>
      </c>
      <c r="B11" s="75" t="s">
        <v>66</v>
      </c>
      <c r="C11" s="77" t="s">
        <v>66</v>
      </c>
      <c r="D11" s="66">
        <v>0</v>
      </c>
      <c r="E11" s="66">
        <v>10</v>
      </c>
      <c r="F11" s="66">
        <v>30</v>
      </c>
      <c r="G11" s="66">
        <v>50</v>
      </c>
      <c r="H11" s="66">
        <v>70</v>
      </c>
      <c r="J11" s="83"/>
      <c r="K11" s="83"/>
      <c r="L11" s="83"/>
      <c r="M11" s="83"/>
      <c r="N11" s="83"/>
    </row>
    <row r="12" spans="1:8" ht="28.5">
      <c r="A12" s="81" t="s">
        <v>50</v>
      </c>
      <c r="B12" s="77">
        <v>0.1</v>
      </c>
      <c r="C12" s="77">
        <v>0.1</v>
      </c>
      <c r="D12" s="66">
        <v>0</v>
      </c>
      <c r="E12" s="66">
        <v>40</v>
      </c>
      <c r="F12" s="66">
        <v>50</v>
      </c>
      <c r="G12" s="66">
        <v>60</v>
      </c>
      <c r="H12" s="66">
        <v>70</v>
      </c>
    </row>
    <row r="13" spans="1:8" ht="15">
      <c r="A13" s="55" t="s">
        <v>51</v>
      </c>
      <c r="B13" s="77">
        <v>0.05</v>
      </c>
      <c r="C13" s="75">
        <v>0.025</v>
      </c>
      <c r="D13" s="66">
        <v>0</v>
      </c>
      <c r="E13" s="66">
        <v>10</v>
      </c>
      <c r="F13" s="66">
        <v>40</v>
      </c>
      <c r="G13" s="66">
        <v>70</v>
      </c>
      <c r="H13" s="66">
        <v>90</v>
      </c>
    </row>
    <row r="14" spans="1:8" ht="15">
      <c r="A14" s="55" t="s">
        <v>52</v>
      </c>
      <c r="B14" s="77">
        <v>0.05</v>
      </c>
      <c r="C14" s="75">
        <v>0.025</v>
      </c>
      <c r="D14" s="66">
        <v>0</v>
      </c>
      <c r="E14" s="66">
        <v>10</v>
      </c>
      <c r="F14" s="66">
        <v>40</v>
      </c>
      <c r="G14" s="66">
        <v>70</v>
      </c>
      <c r="H14" s="66">
        <v>90</v>
      </c>
    </row>
    <row r="15" spans="1:8" ht="15">
      <c r="A15" s="55" t="s">
        <v>53</v>
      </c>
      <c r="B15" s="75">
        <v>0.025</v>
      </c>
      <c r="C15" s="77">
        <v>0.05</v>
      </c>
      <c r="D15" s="66">
        <v>0</v>
      </c>
      <c r="E15" s="66">
        <v>10</v>
      </c>
      <c r="F15" s="66">
        <v>40</v>
      </c>
      <c r="G15" s="66">
        <v>70</v>
      </c>
      <c r="H15" s="66">
        <v>90</v>
      </c>
    </row>
    <row r="16" spans="1:8" ht="15">
      <c r="A16" s="55" t="s">
        <v>54</v>
      </c>
      <c r="B16" s="75">
        <v>0.025</v>
      </c>
      <c r="C16" s="77">
        <v>0.05</v>
      </c>
      <c r="D16" s="66">
        <v>0</v>
      </c>
      <c r="E16" s="66">
        <v>10</v>
      </c>
      <c r="F16" s="66">
        <v>40</v>
      </c>
      <c r="G16" s="66">
        <v>70</v>
      </c>
      <c r="H16" s="66">
        <v>90</v>
      </c>
    </row>
    <row r="17" spans="1:8" ht="15">
      <c r="A17" s="55" t="s">
        <v>55</v>
      </c>
      <c r="B17" s="77">
        <v>0.05</v>
      </c>
      <c r="C17" s="77">
        <v>0.05</v>
      </c>
      <c r="D17" s="82">
        <v>0</v>
      </c>
      <c r="E17" s="82">
        <v>25</v>
      </c>
      <c r="F17" s="82">
        <v>35</v>
      </c>
      <c r="G17" s="82">
        <v>45</v>
      </c>
      <c r="H17" s="82">
        <v>55</v>
      </c>
    </row>
    <row r="18" spans="1:8" ht="15">
      <c r="A18" s="55" t="s">
        <v>56</v>
      </c>
      <c r="B18" s="77">
        <v>0.1</v>
      </c>
      <c r="C18" s="77">
        <v>0.1</v>
      </c>
      <c r="D18" s="82">
        <v>0</v>
      </c>
      <c r="E18" s="82">
        <v>37</v>
      </c>
      <c r="F18" s="82">
        <v>39</v>
      </c>
      <c r="G18" s="82">
        <v>42</v>
      </c>
      <c r="H18" s="82">
        <v>44.5</v>
      </c>
    </row>
    <row r="19" spans="1:8" ht="15">
      <c r="A19" s="34" t="s">
        <v>57</v>
      </c>
      <c r="B19" s="77">
        <v>0.1</v>
      </c>
      <c r="C19" s="77">
        <v>0.25</v>
      </c>
      <c r="D19" s="82">
        <v>0</v>
      </c>
      <c r="E19" s="82">
        <v>92</v>
      </c>
      <c r="F19" s="82">
        <v>94</v>
      </c>
      <c r="G19" s="82">
        <v>95</v>
      </c>
      <c r="H19" s="82">
        <v>96</v>
      </c>
    </row>
    <row r="20" spans="1:8" ht="15">
      <c r="A20" s="55" t="s">
        <v>67</v>
      </c>
      <c r="B20" s="77">
        <v>0.1</v>
      </c>
      <c r="C20" s="77">
        <v>0.1</v>
      </c>
      <c r="D20" t="s">
        <v>11</v>
      </c>
      <c r="E20" t="s">
        <v>10</v>
      </c>
      <c r="F20" t="s">
        <v>9</v>
      </c>
      <c r="G20" t="s">
        <v>8</v>
      </c>
      <c r="H20" t="s">
        <v>7</v>
      </c>
    </row>
    <row r="21" spans="1:8" ht="15">
      <c r="A21" s="60" t="s">
        <v>58</v>
      </c>
      <c r="B21" s="77">
        <v>0.05</v>
      </c>
      <c r="C21" s="77">
        <v>0.05</v>
      </c>
      <c r="D21" s="67">
        <v>0</v>
      </c>
      <c r="E21" s="83">
        <v>85</v>
      </c>
      <c r="F21" s="83">
        <v>90</v>
      </c>
      <c r="G21" s="83">
        <v>95</v>
      </c>
      <c r="H21" s="83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Chicago Public Schools</dc:creator>
  <cp:keywords/>
  <dc:description/>
  <cp:lastModifiedBy>Lee, Michelle  </cp:lastModifiedBy>
  <cp:lastPrinted>2013-10-15T19:11:10Z</cp:lastPrinted>
  <dcterms:created xsi:type="dcterms:W3CDTF">2013-09-12T16:13:17Z</dcterms:created>
  <dcterms:modified xsi:type="dcterms:W3CDTF">2019-12-04T19:44:58Z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