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640" windowHeight="5330" firstSheet="9" activeTab="11"/>
  </bookViews>
  <sheets>
    <sheet name="Instructions" sheetId="1" r:id="rId1"/>
    <sheet name="Salaries - Year 0" sheetId="2" r:id="rId2"/>
    <sheet name="Salaries - Year 1" sheetId="3" r:id="rId3"/>
    <sheet name="Salaries - Year 2" sheetId="4" r:id="rId4"/>
    <sheet name="Salaries - Year 3" sheetId="5" r:id="rId5"/>
    <sheet name="Salaries - Year 4" sheetId="6" r:id="rId6"/>
    <sheet name="Salaries - Year 5" sheetId="7" r:id="rId7"/>
    <sheet name="Contractual Clinicians" sheetId="8" state="hidden" r:id="rId8"/>
    <sheet name="Revenues-SBB &amp; Non-SBB" sheetId="9" r:id="rId9"/>
    <sheet name="Revenues-Federal &amp; State " sheetId="10" r:id="rId10"/>
    <sheet name="Revenues-- Local" sheetId="11" r:id="rId11"/>
    <sheet name="Budget with Assumptions" sheetId="12" r:id="rId12"/>
    <sheet name="Budget Summary " sheetId="13" r:id="rId13"/>
    <sheet name="Loans" sheetId="14" r:id="rId14"/>
    <sheet name="Calculations" sheetId="15" r:id="rId15"/>
  </sheets>
  <definedNames>
    <definedName name="_xlnm.Print_Area" localSheetId="11">'Budget with Assumptions'!$A$1:$T$168</definedName>
    <definedName name="_xlnm.Print_Area" localSheetId="9">'Revenues-Federal &amp; State '!$A$1:$N$96</definedName>
    <definedName name="_xlnm.Print_Titles" localSheetId="12">'Budget Summary '!$A:$A,'Budget Summary '!$7:$9</definedName>
    <definedName name="_xlnm.Print_Titles" localSheetId="11">'Budget with Assumptions'!$A:$A,'Budget with Assumptions'!$7:$9</definedName>
  </definedNames>
  <calcPr fullCalcOnLoad="1"/>
</workbook>
</file>

<file path=xl/comments1.xml><?xml version="1.0" encoding="utf-8"?>
<comments xmlns="http://schemas.openxmlformats.org/spreadsheetml/2006/main">
  <authors>
    <author>King, Ashley</author>
  </authors>
  <commentList>
    <comment ref="B71" authorId="0">
      <text>
        <r>
          <rPr>
            <b/>
            <sz val="9"/>
            <rFont val="Tahoma"/>
            <family val="2"/>
          </rPr>
          <t>King, Ashley:</t>
        </r>
        <r>
          <rPr>
            <sz val="9"/>
            <rFont val="Tahoma"/>
            <family val="2"/>
          </rPr>
          <t xml:space="preserve">
let's revise this to just the notes
</t>
        </r>
      </text>
    </comment>
  </commentList>
</comments>
</file>

<file path=xl/sharedStrings.xml><?xml version="1.0" encoding="utf-8"?>
<sst xmlns="http://schemas.openxmlformats.org/spreadsheetml/2006/main" count="985" uniqueCount="501">
  <si>
    <t>Charter School</t>
  </si>
  <si>
    <t>Other</t>
  </si>
  <si>
    <t>Student Fees</t>
  </si>
  <si>
    <t>Direct Student Costs</t>
  </si>
  <si>
    <t>ELL</t>
  </si>
  <si>
    <t>Student Recruitment</t>
  </si>
  <si>
    <t>Salaries</t>
  </si>
  <si>
    <t>Staff Recruitment</t>
  </si>
  <si>
    <t>Professional Development</t>
  </si>
  <si>
    <t>Supplies</t>
  </si>
  <si>
    <t>Printing &amp; Copying</t>
  </si>
  <si>
    <t>Total Office Administration</t>
  </si>
  <si>
    <t>Total Occupancy</t>
  </si>
  <si>
    <t>Utilities</t>
  </si>
  <si>
    <t>Replacement Reserve</t>
  </si>
  <si>
    <t>Total Other Costs</t>
  </si>
  <si>
    <t>Total Expenses</t>
  </si>
  <si>
    <t>Private Fundraising</t>
  </si>
  <si>
    <t>Investment Income</t>
  </si>
  <si>
    <t>EXPENSES:</t>
  </si>
  <si>
    <t>Total Revenues</t>
  </si>
  <si>
    <t>BUDGETED SURPLUS/(DEFICIT)</t>
  </si>
  <si>
    <t>Principal</t>
  </si>
  <si>
    <t>Assistant Principal</t>
  </si>
  <si>
    <t>Total Employees</t>
  </si>
  <si>
    <t>Total Enrollment</t>
  </si>
  <si>
    <t>FY2013</t>
  </si>
  <si>
    <t>Expansion Enrollment</t>
  </si>
  <si>
    <t>Expansion Funding Per Student</t>
  </si>
  <si>
    <t>High School Expansion Funding</t>
  </si>
  <si>
    <t>Total High School Expansion Revenue</t>
  </si>
  <si>
    <t>Total Expansion Revenue</t>
  </si>
  <si>
    <t>Teachers</t>
  </si>
  <si>
    <t>Erate</t>
  </si>
  <si>
    <t>Fundraising Expense</t>
  </si>
  <si>
    <t>Estimated Rate Per Student</t>
  </si>
  <si>
    <t>Total Title 2 Revenue</t>
  </si>
  <si>
    <t>General</t>
  </si>
  <si>
    <t xml:space="preserve"> </t>
  </si>
  <si>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</si>
  <si>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</si>
  <si>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</si>
  <si>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</si>
  <si>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</si>
  <si>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</si>
  <si>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Deans</t>
  </si>
  <si>
    <t>NCLB-Title 1</t>
  </si>
  <si>
    <t>Amount</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</si>
  <si>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</si>
  <si>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</si>
  <si>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</si>
  <si>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</si>
  <si>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</si>
  <si>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</si>
  <si>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</si>
  <si>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</si>
  <si>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</si>
  <si>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</si>
  <si>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</si>
  <si>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</si>
  <si>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</si>
  <si>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</si>
  <si>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</si>
  <si>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</si>
  <si>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</si>
  <si>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</si>
  <si>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</si>
  <si>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</si>
  <si>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</si>
  <si>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</si>
  <si>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</si>
  <si>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</si>
  <si>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</si>
  <si>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</si>
  <si>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</si>
  <si>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</si>
  <si>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</si>
  <si>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</si>
  <si>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</si>
  <si>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</si>
  <si>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</si>
  <si>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</si>
  <si>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</si>
  <si>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</si>
  <si>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</si>
  <si>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</si>
  <si>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</si>
  <si>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</si>
  <si>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</si>
  <si>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</si>
  <si>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</si>
  <si>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</si>
  <si>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</si>
  <si>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</si>
  <si>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</si>
  <si>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</si>
  <si>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</si>
  <si>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</si>
  <si>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</si>
  <si>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</si>
  <si>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</si>
  <si>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</si>
  <si>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</si>
  <si>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</si>
  <si>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</si>
  <si>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</si>
  <si>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</si>
  <si>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</si>
  <si>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</si>
  <si>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</si>
  <si>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</si>
  <si>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</si>
  <si>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</si>
  <si>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</si>
  <si>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</si>
  <si>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</si>
  <si>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</si>
  <si>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</si>
  <si>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</si>
  <si>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</si>
  <si>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</si>
  <si>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</si>
  <si>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</si>
  <si>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</si>
  <si>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</si>
  <si>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</si>
  <si>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</si>
  <si>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</si>
  <si>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Contingency</t>
  </si>
  <si>
    <t>Budgeted Enrollment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</si>
  <si>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</si>
  <si>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</si>
  <si>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</si>
  <si>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</si>
  <si>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Classroom Supplies (consumables)</t>
  </si>
  <si>
    <t>Educational Materials (non-consumables)</t>
  </si>
  <si>
    <t>Extracurricular Expenses</t>
  </si>
  <si>
    <t>Instructions</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</si>
  <si>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</si>
  <si>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</si>
  <si>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</si>
  <si>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</si>
  <si>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</si>
  <si>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t xml:space="preserve">The Revenues-Federal, State, and Expansion Worksheet calculates the following revenues:                                                                                                                                                                                                                </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</si>
  <si>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</si>
  <si>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</si>
  <si>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</si>
  <si>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</si>
  <si>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</si>
  <si>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</si>
  <si>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</si>
  <si>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Calculations:</t>
  </si>
  <si>
    <t>(A) Guidelines</t>
  </si>
  <si>
    <r>
      <t xml:space="preserve">The budget should be prepared on a </t>
    </r>
    <r>
      <rPr>
        <b/>
        <i/>
        <sz val="11"/>
        <rFont val="Arial"/>
        <family val="2"/>
      </rPr>
      <t>cash basis</t>
    </r>
    <r>
      <rPr>
        <sz val="11"/>
        <rFont val="Arial"/>
        <family val="2"/>
      </rPr>
      <t>.</t>
    </r>
  </si>
  <si>
    <r>
      <t>Columns L, N, P, R, and T</t>
    </r>
    <r>
      <rPr>
        <sz val="11"/>
        <rFont val="Arial"/>
        <family val="2"/>
      </rPr>
      <t xml:space="preserve"> are for the budgeted amounts for the first five years of operation.</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</si>
  <si>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</si>
  <si>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</si>
  <si>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</si>
  <si>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</si>
  <si>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</si>
  <si>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</si>
  <si>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</si>
  <si>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</si>
  <si>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</si>
  <si>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</si>
  <si>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</si>
  <si>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</si>
  <si>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</si>
  <si>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The worksheet has explanations of each type of loan.</t>
  </si>
  <si>
    <t>Non-Facility Loan Proceeds / Line of Credit</t>
  </si>
  <si>
    <t>Non-Facility Loan Information</t>
  </si>
  <si>
    <t>The budget should reflect the school's mission, vision, and program. Please check for inconsistencies between the Budget and your Full Proposal.</t>
  </si>
  <si>
    <t>If you are a candidate selected to continue in the RFP process, you will be requested to submit a revised budget(s).</t>
  </si>
  <si>
    <t>Rent</t>
  </si>
  <si>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</si>
  <si>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</si>
  <si>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</si>
  <si>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</si>
  <si>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t>Cells highlighted in blue are locked (data cannot be entered). These cells are for subtotals, totals, amounts/text populated from other worksheets, or revenue and expense categories that cannot be changed.</t>
  </si>
  <si>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</si>
  <si>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</si>
  <si>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</si>
  <si>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</si>
  <si>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</si>
  <si>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</si>
  <si>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</si>
  <si>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</si>
  <si>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</si>
  <si>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</si>
  <si>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</si>
  <si>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</si>
  <si>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</si>
  <si>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Estimated Cash Balance at the Beginning of the FY</t>
  </si>
  <si>
    <t>Net Surplus/(Deficit) for the FY</t>
  </si>
  <si>
    <t>Estimated Cash Balance at the End of the FY</t>
  </si>
  <si>
    <t>Federal Title 1 Revenue</t>
  </si>
  <si>
    <t>Federal Title 2 Revenue</t>
  </si>
  <si>
    <t>Facility Loan(s)</t>
  </si>
  <si>
    <t>Non-Facility Loan(s)</t>
  </si>
  <si>
    <t>Loan(s) used to procure instructional equipment, educational materials, furniture, computers, or for general school operations.</t>
  </si>
  <si>
    <r>
      <t xml:space="preserve">Loan proceeds for facility projects should </t>
    </r>
    <r>
      <rPr>
        <b/>
        <sz val="11"/>
        <rFont val="Arial"/>
        <family val="2"/>
      </rPr>
      <t>not</t>
    </r>
    <r>
      <rPr>
        <sz val="11"/>
        <rFont val="Arial"/>
        <family val="2"/>
      </rPr>
      <t xml:space="preserve"> be included as revenue.</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</si>
  <si>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</si>
  <si>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t>CPS Administrative Fee</t>
  </si>
  <si>
    <t>Clinician Position</t>
  </si>
  <si>
    <t>Total Fees for Reimbursable Clinician Positions</t>
  </si>
  <si>
    <t>Contractual Equivalent FTE</t>
  </si>
  <si>
    <t>Annualized Contractual Fee</t>
  </si>
  <si>
    <t>Contractual (non-employee) Clinicians</t>
  </si>
  <si>
    <t>Total Contractual Clinician Fees</t>
  </si>
  <si>
    <t xml:space="preserve">   Total Clinician Positions</t>
  </si>
  <si>
    <r>
      <t xml:space="preserve">Special Education Contracted Clinician Services that are Reimbursable under CPS's policy </t>
    </r>
    <r>
      <rPr>
        <i/>
        <sz val="12"/>
        <rFont val="Cambria"/>
        <family val="1"/>
      </rPr>
      <t>(from Contractual Clinician Worksheet)</t>
    </r>
  </si>
  <si>
    <t>C) Contractual Clinicians (Special Education Reimbursement)</t>
  </si>
  <si>
    <t>FISCAL YEAR (June 30)</t>
  </si>
  <si>
    <t>a) Fixed Per Year</t>
  </si>
  <si>
    <t xml:space="preserve">b) Per Pupil </t>
  </si>
  <si>
    <t>d) % of Salaries (Personnel Section Only)</t>
  </si>
  <si>
    <t>Please note that the choices in the Dropdown Boxes do not apply to the Incubation Year. The expense will calculate automatically if you select (a) - (d) for all five operating years.</t>
  </si>
  <si>
    <t xml:space="preserve">c) Per Employee </t>
  </si>
  <si>
    <t xml:space="preserve">e) Other </t>
  </si>
  <si>
    <r>
      <rPr>
        <b/>
        <sz val="11"/>
        <rFont val="Arial"/>
        <family val="2"/>
      </rPr>
      <t xml:space="preserve">(d) Expansion Funding (Rows 33-43, Row 86, and Row 95) - </t>
    </r>
    <r>
      <rPr>
        <b/>
        <i/>
        <sz val="11"/>
        <rFont val="Arial"/>
        <family val="2"/>
      </rPr>
      <t xml:space="preserve"> A charter or contract school is eligible for expansion funding each year that it adds a grade</t>
    </r>
    <r>
      <rPr>
        <sz val="11"/>
        <rFont val="Arial"/>
        <family val="2"/>
      </rPr>
      <t xml:space="preserv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 xml:space="preserve">Please note that in </t>
    </r>
    <r>
      <rPr>
        <b/>
        <i/>
        <sz val="11"/>
        <rFont val="Arial"/>
        <family val="2"/>
      </rPr>
      <t>Column E</t>
    </r>
    <r>
      <rPr>
        <i/>
        <sz val="11"/>
        <rFont val="Arial"/>
        <family val="2"/>
      </rPr>
      <t>,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</si>
  <si>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t>Note: In Cell L14, $118,750 has been entered for the estimated Start-up Funds (first year of operation).</t>
  </si>
  <si>
    <r>
      <t>The Budget Summary is a condensed version of the  "</t>
    </r>
    <r>
      <rPr>
        <b/>
        <sz val="11"/>
        <rFont val="Arial"/>
        <family val="2"/>
      </rPr>
      <t>Budget with Assumptions</t>
    </r>
    <r>
      <rPr>
        <sz val="11"/>
        <rFont val="Arial"/>
        <family val="2"/>
      </rPr>
      <t>"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</si>
  <si>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t>Loan(s) used to acquire or renovate a school building.</t>
  </si>
  <si>
    <r>
      <t xml:space="preserve">Applicants who are either renovating or purchasing a facility, and are financing the project through a loan, should complete the </t>
    </r>
    <r>
      <rPr>
        <b/>
        <sz val="11"/>
        <rFont val="Arial"/>
        <family val="2"/>
      </rPr>
      <t xml:space="preserve">Loans </t>
    </r>
    <r>
      <rPr>
        <sz val="11"/>
        <rFont val="Arial"/>
        <family val="2"/>
      </rPr>
      <t xml:space="preserve">worksheet (in this file) as well as the </t>
    </r>
    <r>
      <rPr>
        <b/>
        <sz val="11"/>
        <rFont val="Arial"/>
        <family val="2"/>
      </rPr>
      <t xml:space="preserve">Sources and Uses </t>
    </r>
    <r>
      <rPr>
        <sz val="11"/>
        <rFont val="Arial"/>
        <family val="2"/>
      </rPr>
      <t>spreadsheet (separate file).</t>
    </r>
  </si>
  <si>
    <r>
      <t xml:space="preserve">The budget should be prepared on a </t>
    </r>
    <r>
      <rPr>
        <b/>
        <i/>
        <sz val="11"/>
        <rFont val="Arial"/>
        <family val="2"/>
      </rPr>
      <t>cash basis</t>
    </r>
    <r>
      <rPr>
        <sz val="11"/>
        <rFont val="Arial"/>
        <family val="2"/>
      </rPr>
      <t xml:space="preserve">. </t>
    </r>
  </si>
  <si>
    <r>
      <t xml:space="preserve">In </t>
    </r>
    <r>
      <rPr>
        <b/>
        <sz val="11"/>
        <rFont val="Arial"/>
        <family val="2"/>
      </rPr>
      <t>Column C</t>
    </r>
    <r>
      <rPr>
        <sz val="11"/>
        <rFont val="Arial"/>
        <family val="2"/>
      </rPr>
      <t xml:space="preserve"> there are Dropdown Boxes (highlighted in green) for most of the expense categories. The following are the selections:                                                                                                                                             </t>
    </r>
  </si>
  <si>
    <t>NCLB-Title 2</t>
  </si>
  <si>
    <r>
      <t>Column J</t>
    </r>
    <r>
      <rPr>
        <sz val="11"/>
        <rFont val="Arial"/>
        <family val="2"/>
      </rPr>
      <t xml:space="preserve"> is for the budgeted amounts for the Incubation Year. </t>
    </r>
  </si>
  <si>
    <t>Position Description</t>
  </si>
  <si>
    <t>Number of Staff Per Position (FTE's)</t>
  </si>
  <si>
    <t>Average Salary for the Position</t>
  </si>
  <si>
    <t>Total Salaries</t>
  </si>
  <si>
    <t>Teacher Aides</t>
  </si>
  <si>
    <t>Administrative Assistant</t>
  </si>
  <si>
    <t>TOTALS</t>
  </si>
  <si>
    <t>FICA Expense</t>
  </si>
  <si>
    <t>Medicare Expense</t>
  </si>
  <si>
    <r>
      <t xml:space="preserve"> Certified Positions that </t>
    </r>
    <r>
      <rPr>
        <b/>
        <u val="single"/>
        <sz val="11"/>
        <rFont val="Times New Roman"/>
        <family val="1"/>
      </rPr>
      <t>Participate</t>
    </r>
    <r>
      <rPr>
        <b/>
        <sz val="11"/>
        <rFont val="Times New Roman"/>
        <family val="1"/>
      </rPr>
      <t xml:space="preserve"> in the Chicago Teachers' Pension Fund ("CTPF")</t>
    </r>
  </si>
  <si>
    <r>
      <t xml:space="preserve">School's Pick-up of </t>
    </r>
    <r>
      <rPr>
        <b/>
        <u val="single"/>
        <sz val="11"/>
        <rFont val="Arial"/>
        <family val="2"/>
      </rPr>
      <t>EMPLOYEES'</t>
    </r>
    <r>
      <rPr>
        <b/>
        <sz val="11"/>
        <rFont val="Arial"/>
        <family val="2"/>
      </rPr>
      <t xml:space="preserve"> Share of CTPF (Enter 0%-9% in Cell E12)</t>
    </r>
  </si>
  <si>
    <r>
      <t xml:space="preserve">Estimated Annual </t>
    </r>
    <r>
      <rPr>
        <b/>
        <u val="single"/>
        <sz val="11"/>
        <rFont val="Arial"/>
        <family val="2"/>
      </rPr>
      <t>EMPLOYER'S</t>
    </r>
    <r>
      <rPr>
        <b/>
        <sz val="11"/>
        <rFont val="Arial"/>
        <family val="2"/>
      </rPr>
      <t xml:space="preserve">  Contribution to the CTPF</t>
    </r>
  </si>
  <si>
    <t>Employer's Share of Medicare Expense</t>
  </si>
  <si>
    <t>Totals</t>
  </si>
  <si>
    <r>
      <t xml:space="preserve">Positions that do </t>
    </r>
    <r>
      <rPr>
        <b/>
        <u val="single"/>
        <sz val="11"/>
        <rFont val="Times New Roman"/>
        <family val="1"/>
      </rPr>
      <t>NOT</t>
    </r>
    <r>
      <rPr>
        <b/>
        <sz val="11"/>
        <rFont val="Times New Roman"/>
        <family val="1"/>
      </rPr>
      <t xml:space="preserve"> Participate in the Chicago Teachers' Pension Fund</t>
    </r>
  </si>
  <si>
    <t>Employer's Share of FICA</t>
  </si>
  <si>
    <t>Certified Personnel</t>
  </si>
  <si>
    <t>Non-Certified Personnel</t>
  </si>
  <si>
    <t xml:space="preserve"> Total Salaries</t>
  </si>
  <si>
    <t>Total Medicare Expense</t>
  </si>
  <si>
    <t xml:space="preserve"> Total Medicare Expense</t>
  </si>
  <si>
    <t>Total # of Employees that Participate in the CTPF</t>
  </si>
  <si>
    <r>
      <t xml:space="preserve">Total # of Employees that do </t>
    </r>
    <r>
      <rPr>
        <b/>
        <sz val="11"/>
        <color indexed="8"/>
        <rFont val="Calibri"/>
        <family val="2"/>
      </rPr>
      <t>NOT</t>
    </r>
    <r>
      <rPr>
        <sz val="10"/>
        <rFont val="Arial"/>
        <family val="0"/>
      </rPr>
      <t xml:space="preserve"> Participate in the CTPF</t>
    </r>
  </si>
  <si>
    <t xml:space="preserve"> Total # of Employees</t>
  </si>
  <si>
    <t>Note: The average salaries (Column "C") are carried forward from the previous fiscal year. You can leave them unchanged, change them manually, or enter a % in Cell B5 if you want to increase them from the prior year. Please note that if you enter a % in Cell B5 that will increase all of the salaries carried forward from the previous fiscal year by the %.</t>
  </si>
  <si>
    <t xml:space="preserve">C) Salaries - Year 1 </t>
  </si>
  <si>
    <t>B) Salaries - Year 0 (incubation year)</t>
  </si>
  <si>
    <t>D) Salaries - Year 2</t>
  </si>
  <si>
    <t>E) Salaries - Year 3</t>
  </si>
  <si>
    <t>F) Salaries - Year 4</t>
  </si>
  <si>
    <t>G) Salaries - Year 5</t>
  </si>
  <si>
    <t>J) Budget with Assumptions</t>
  </si>
  <si>
    <t>K) Budget Summary</t>
  </si>
  <si>
    <t>L) Loans</t>
  </si>
  <si>
    <t>M) Calculations</t>
  </si>
  <si>
    <t>The budget is divided in to thirteen worksheets:</t>
  </si>
  <si>
    <t>(B)  -  (G) Salaries Worksheets</t>
  </si>
  <si>
    <t>English Language Learners - State of Illinois Funding</t>
  </si>
  <si>
    <t>Total Funding</t>
  </si>
  <si>
    <t>English Language Learners - Federal Funding</t>
  </si>
  <si>
    <t>Enter the number of ELL students that you are projecting. It can only be from 20 to 249 students. If you are projecting less than 20 ELL students, "0" should be entered.</t>
  </si>
  <si>
    <t>Rate for 20-249 ELL Students</t>
  </si>
  <si>
    <r>
      <t xml:space="preserve">This section is only for schools that are projecting </t>
    </r>
    <r>
      <rPr>
        <b/>
        <i/>
        <u val="single"/>
        <sz val="12"/>
        <rFont val="Arial"/>
        <family val="2"/>
      </rPr>
      <t>100 or more</t>
    </r>
    <r>
      <rPr>
        <b/>
        <sz val="12"/>
        <rFont val="Arial"/>
        <family val="2"/>
      </rPr>
      <t xml:space="preserve"> ELL students in any fiscal year.</t>
    </r>
  </si>
  <si>
    <r>
      <t xml:space="preserve">This section is only for schools that are projecting </t>
    </r>
    <r>
      <rPr>
        <b/>
        <i/>
        <u val="single"/>
        <sz val="12"/>
        <rFont val="Arial"/>
        <family val="2"/>
      </rPr>
      <t>20-249</t>
    </r>
    <r>
      <rPr>
        <b/>
        <sz val="12"/>
        <rFont val="Arial"/>
        <family val="2"/>
      </rPr>
      <t xml:space="preserve"> ELL students in any fiscal year.</t>
    </r>
  </si>
  <si>
    <t xml:space="preserve">   Total State Funding</t>
  </si>
  <si>
    <t xml:space="preserve">   Total Federal Funding</t>
  </si>
  <si>
    <t>ELL Funding Summary</t>
  </si>
  <si>
    <t>Total ELL Funding</t>
  </si>
  <si>
    <r>
      <t xml:space="preserve">This section is only for schools that are projecting </t>
    </r>
    <r>
      <rPr>
        <b/>
        <i/>
        <u val="single"/>
        <sz val="12"/>
        <rFont val="Arial"/>
        <family val="2"/>
      </rPr>
      <t>250 or more</t>
    </r>
    <r>
      <rPr>
        <b/>
        <sz val="12"/>
        <rFont val="Arial"/>
        <family val="2"/>
      </rPr>
      <t xml:space="preserve"> ELL students in any fiscal year.</t>
    </r>
  </si>
  <si>
    <r>
      <rPr>
        <b/>
        <sz val="10"/>
        <rFont val="Arial"/>
        <family val="2"/>
      </rPr>
      <t>Enter</t>
    </r>
    <r>
      <rPr>
        <sz val="10"/>
        <rFont val="Arial"/>
        <family val="2"/>
      </rPr>
      <t xml:space="preserve"> </t>
    </r>
    <r>
      <rPr>
        <b/>
        <sz val="10"/>
        <rFont val="Arial"/>
        <family val="2"/>
      </rPr>
      <t>1</t>
    </r>
    <r>
      <rPr>
        <sz val="10"/>
        <rFont val="Arial"/>
        <family val="2"/>
      </rPr>
      <t xml:space="preserve"> </t>
    </r>
    <r>
      <rPr>
        <b/>
        <sz val="10"/>
        <rFont val="Arial"/>
        <family val="2"/>
      </rPr>
      <t>only if you are projected to have 100 or more ELL studen</t>
    </r>
    <r>
      <rPr>
        <sz val="10"/>
        <rFont val="Arial"/>
        <family val="2"/>
      </rPr>
      <t>ts</t>
    </r>
    <r>
      <rPr>
        <b/>
        <sz val="10"/>
        <rFont val="Arial"/>
        <family val="2"/>
      </rPr>
      <t>; otherwise, leave blank or zero.</t>
    </r>
  </si>
  <si>
    <r>
      <t xml:space="preserve">Enter </t>
    </r>
    <r>
      <rPr>
        <b/>
        <sz val="10"/>
        <rFont val="Arial"/>
        <family val="2"/>
      </rPr>
      <t>1</t>
    </r>
    <r>
      <rPr>
        <sz val="10"/>
        <rFont val="Arial"/>
        <family val="2"/>
      </rPr>
      <t xml:space="preserve"> </t>
    </r>
    <r>
      <rPr>
        <b/>
        <sz val="10"/>
        <rFont val="Arial"/>
        <family val="2"/>
      </rPr>
      <t>only if you are projected to have 250 or more ELL studen</t>
    </r>
    <r>
      <rPr>
        <sz val="10"/>
        <rFont val="Arial"/>
        <family val="2"/>
      </rPr>
      <t>ts</t>
    </r>
    <r>
      <rPr>
        <b/>
        <sz val="10"/>
        <rFont val="Arial"/>
        <family val="2"/>
      </rPr>
      <t>; otherwise, leave blank or zero.</t>
    </r>
  </si>
  <si>
    <t>(J) Budget with Assumptions Worksheet</t>
  </si>
  <si>
    <t>(K) Budget Summary</t>
  </si>
  <si>
    <t>(L) Loan Worksheet</t>
  </si>
  <si>
    <t>(M) Calculations Worksheet</t>
  </si>
  <si>
    <r>
      <rPr>
        <b/>
        <sz val="10"/>
        <rFont val="Arial"/>
        <family val="2"/>
      </rPr>
      <t>Note:</t>
    </r>
    <r>
      <rPr>
        <sz val="10"/>
        <rFont val="Arial"/>
        <family val="2"/>
      </rPr>
      <t xml:space="preserve"> The average salaries (Column "C") are carried forward from the previous fiscal year. You can leave them unchanged, change them manually, or enter a % in Cell B5 if you want to increase them from the prior year. Please note that if you enter a % in Cell B5 that will increase all of the salaries carried forward from the previous fiscal year.</t>
    </r>
  </si>
  <si>
    <t>Title I Eligible Per Pupil Rate ($579 base rate + $23 increases per Title I Index % increase)</t>
  </si>
  <si>
    <t>A) Instructions / Guidelines (this worksheet)</t>
  </si>
  <si>
    <t>I) Revenues-Federal and State</t>
  </si>
  <si>
    <r>
      <t xml:space="preserve">NOTE: Employees of </t>
    </r>
    <r>
      <rPr>
        <b/>
        <i/>
        <u val="single"/>
        <sz val="11"/>
        <rFont val="Arial"/>
        <family val="2"/>
      </rPr>
      <t>CONTRACT SCHOOLS</t>
    </r>
    <r>
      <rPr>
        <b/>
        <i/>
        <sz val="11"/>
        <rFont val="Arial"/>
        <family val="2"/>
      </rPr>
      <t xml:space="preserve"> do </t>
    </r>
    <r>
      <rPr>
        <b/>
        <i/>
        <u val="single"/>
        <sz val="11"/>
        <rFont val="Arial"/>
        <family val="2"/>
      </rPr>
      <t xml:space="preserve">NOT </t>
    </r>
    <r>
      <rPr>
        <b/>
        <i/>
        <sz val="11"/>
        <rFont val="Arial"/>
        <family val="2"/>
      </rPr>
      <t>participate in the Chicago Teachers' Pension Fund. Contract Schools should only complete the second section of the Salaries worksheet ("Positions that do NOT participate in the CTPF").</t>
    </r>
  </si>
  <si>
    <t>Please use this worksheet to show any calculations for your budget.</t>
  </si>
  <si>
    <t>Rate for 100 or more ELL students</t>
  </si>
  <si>
    <t>Rate for 250 or more ELL students</t>
  </si>
  <si>
    <t>Property Insurance</t>
  </si>
  <si>
    <t>Liability Insurance</t>
  </si>
  <si>
    <t>Directors and Officers' Insurance</t>
  </si>
  <si>
    <t>Automobile Insurance</t>
  </si>
  <si>
    <t>Indemnity Insurance</t>
  </si>
  <si>
    <t>Other Insurance</t>
  </si>
  <si>
    <t>Transportation Services</t>
  </si>
  <si>
    <t>Fee is calculated by multiplying the total of the Per Capita and SGSA revenues by 3% plus ELL revenues by 2.67%.</t>
  </si>
  <si>
    <t>All budgeted revenues funded by CPS are ESTIMATES, and are NOT guarantees of future funding. All future funding is subject to Board approval. All fees charged by CPS are ESTIMATES only.</t>
  </si>
  <si>
    <r>
      <t xml:space="preserve">This section is only for schools that are projecting </t>
    </r>
    <r>
      <rPr>
        <b/>
        <i/>
        <u val="single"/>
        <sz val="12"/>
        <rFont val="Arial"/>
        <family val="2"/>
      </rPr>
      <t>20-99</t>
    </r>
    <r>
      <rPr>
        <b/>
        <i/>
        <sz val="12"/>
        <rFont val="Arial"/>
        <family val="2"/>
      </rPr>
      <t xml:space="preserve"> </t>
    </r>
    <r>
      <rPr>
        <b/>
        <sz val="12"/>
        <rFont val="Arial"/>
        <family val="2"/>
      </rPr>
      <t>ELL students in any fiscal year.</t>
    </r>
  </si>
  <si>
    <t>(I) Revenues-Federal &amp; State</t>
  </si>
  <si>
    <t>Enter the number of ELL students that you are projecting. It can only be from 20 to 99 students. If you are projecting less than 20 ELL students, "0" should be entered.</t>
  </si>
  <si>
    <t>Rate for 20-99 ELL Students</t>
  </si>
  <si>
    <t>9-12 Rate</t>
  </si>
  <si>
    <t>Supplemental Special Education</t>
  </si>
  <si>
    <t>Totals must match the enrollment numbers in the Revenues per Capita tab</t>
  </si>
  <si>
    <t>Totals must match the enrollment numbers in the Revenues per Capita tab - row 93 must equal 0</t>
  </si>
  <si>
    <r>
      <rPr>
        <b/>
        <sz val="11"/>
        <rFont val="Arial"/>
        <family val="2"/>
      </rPr>
      <t>b)</t>
    </r>
    <r>
      <rPr>
        <sz val="11"/>
        <rFont val="Arial"/>
        <family val="2"/>
      </rPr>
      <t xml:space="preserve"> CPS Owned Facility - the amount per pupil is for non-core education expenses (e.g., occupancy expenses) for a school operating in a CPS owned facility.</t>
    </r>
  </si>
  <si>
    <r>
      <rPr>
        <b/>
        <sz val="11"/>
        <rFont val="Arial"/>
        <family val="2"/>
      </rPr>
      <t>(a)</t>
    </r>
    <r>
      <rPr>
        <sz val="11"/>
        <rFont val="Arial"/>
        <family val="2"/>
      </rPr>
      <t xml:space="preserve"> Federal Title1</t>
    </r>
  </si>
  <si>
    <r>
      <rPr>
        <b/>
        <sz val="11"/>
        <rFont val="Arial"/>
        <family val="2"/>
      </rPr>
      <t>(b)</t>
    </r>
    <r>
      <rPr>
        <sz val="11"/>
        <rFont val="Arial"/>
        <family val="2"/>
      </rPr>
      <t xml:space="preserve"> Federal Title 2</t>
    </r>
  </si>
  <si>
    <r>
      <rPr>
        <b/>
        <sz val="11"/>
        <rFont val="Arial"/>
        <family val="2"/>
      </rPr>
      <t>(c)</t>
    </r>
    <r>
      <rPr>
        <sz val="11"/>
        <rFont val="Arial"/>
        <family val="2"/>
      </rPr>
      <t xml:space="preserve"> English Language Learners (Federal and State)</t>
    </r>
  </si>
  <si>
    <r>
      <t xml:space="preserve">In </t>
    </r>
    <r>
      <rPr>
        <b/>
        <sz val="11"/>
        <rFont val="Arial"/>
        <family val="2"/>
      </rPr>
      <t>Row 15</t>
    </r>
    <r>
      <rPr>
        <sz val="11"/>
        <rFont val="Arial"/>
        <family val="2"/>
      </rPr>
      <t xml:space="preserve">, the rate per eligible Title 1 student is calculated. The base rate is $579 if 40% or more is calculated in </t>
    </r>
    <r>
      <rPr>
        <b/>
        <sz val="11"/>
        <rFont val="Arial"/>
        <family val="2"/>
      </rPr>
      <t>Row 14</t>
    </r>
    <r>
      <rPr>
        <sz val="11"/>
        <rFont val="Arial"/>
        <family val="2"/>
      </rPr>
      <t xml:space="preserve">. For each percentage point over 40%, $23 is added to the base rate of $579. For example, if 50% was calculated in </t>
    </r>
    <r>
      <rPr>
        <b/>
        <sz val="11"/>
        <rFont val="Arial"/>
        <family val="2"/>
      </rPr>
      <t>Row 14</t>
    </r>
    <r>
      <rPr>
        <sz val="11"/>
        <rFont val="Arial"/>
        <family val="2"/>
      </rPr>
      <t xml:space="preserve">, the rate would be $809 ($579 base rate + (10 </t>
    </r>
    <r>
      <rPr>
        <i/>
        <sz val="10"/>
        <rFont val="Calibri"/>
        <family val="2"/>
      </rPr>
      <t>(50-40)</t>
    </r>
    <r>
      <rPr>
        <sz val="11"/>
        <rFont val="Arial"/>
        <family val="2"/>
      </rPr>
      <t xml:space="preserve"> x $23) or $230.</t>
    </r>
  </si>
  <si>
    <r>
      <t xml:space="preserve">In </t>
    </r>
    <r>
      <rPr>
        <b/>
        <sz val="11"/>
        <rFont val="Arial"/>
        <family val="2"/>
      </rPr>
      <t>Row 16</t>
    </r>
    <r>
      <rPr>
        <sz val="11"/>
        <rFont val="Arial"/>
        <family val="2"/>
      </rPr>
      <t>, the total Title 1 revenue is calculated by taking the Title 1 eligible enrollment (</t>
    </r>
    <r>
      <rPr>
        <b/>
        <sz val="11"/>
        <rFont val="Arial"/>
        <family val="2"/>
      </rPr>
      <t>Row 12</t>
    </r>
    <r>
      <rPr>
        <sz val="11"/>
        <rFont val="Arial"/>
        <family val="2"/>
      </rPr>
      <t xml:space="preserve">) times the rate in </t>
    </r>
    <r>
      <rPr>
        <b/>
        <sz val="11"/>
        <rFont val="Arial"/>
        <family val="2"/>
      </rPr>
      <t>Row 14</t>
    </r>
    <r>
      <rPr>
        <sz val="11"/>
        <rFont val="Arial"/>
        <family val="2"/>
      </rPr>
      <t>.</t>
    </r>
    <r>
      <rPr>
        <b/>
        <sz val="11"/>
        <rFont val="Arial"/>
        <family val="2"/>
      </rPr>
      <t xml:space="preserve"> Row 16</t>
    </r>
    <r>
      <rPr>
        <sz val="11"/>
        <rFont val="Arial"/>
        <family val="2"/>
      </rPr>
      <t xml:space="preserve"> populates </t>
    </r>
    <r>
      <rPr>
        <b/>
        <sz val="11"/>
        <rFont val="Arial"/>
        <family val="2"/>
      </rPr>
      <t>Row 12</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</si>
  <si>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rPr>
        <b/>
        <sz val="11"/>
        <rFont val="Arial"/>
        <family val="2"/>
      </rPr>
      <t>Rows 156 - 158</t>
    </r>
    <r>
      <rPr>
        <sz val="11"/>
        <rFont val="Arial"/>
        <family val="2"/>
      </rPr>
      <t xml:space="preserve"> keeps track of the budgeted cash balance.</t>
    </r>
  </si>
  <si>
    <r>
      <t xml:space="preserve">The </t>
    </r>
    <r>
      <rPr>
        <b/>
        <sz val="11"/>
        <rFont val="Arial"/>
        <family val="2"/>
      </rPr>
      <t>Budgeted Data Summary Table</t>
    </r>
    <r>
      <rPr>
        <sz val="11"/>
        <rFont val="Arial"/>
        <family val="2"/>
      </rPr>
      <t xml:space="preserve"> is in </t>
    </r>
    <r>
      <rPr>
        <b/>
        <sz val="11"/>
        <rFont val="Arial"/>
        <family val="2"/>
      </rPr>
      <t>Cells J163-T167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</si>
  <si>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other expenses, you can budget amounts utilizing the Dropdown Boxes in </t>
    </r>
    <r>
      <rPr>
        <b/>
        <sz val="11"/>
        <rFont val="Arial"/>
        <family val="2"/>
      </rPr>
      <t xml:space="preserve">Column C. </t>
    </r>
    <r>
      <rPr>
        <sz val="11"/>
        <rFont val="Arial"/>
        <family val="2"/>
      </rPr>
      <t>The following are the selections:</t>
    </r>
  </si>
  <si>
    <r>
      <t xml:space="preserve">In </t>
    </r>
    <r>
      <rPr>
        <b/>
        <sz val="11"/>
        <rFont val="Arial"/>
        <family val="2"/>
      </rPr>
      <t>Row 99</t>
    </r>
    <r>
      <rPr>
        <sz val="11"/>
        <rFont val="Arial"/>
        <family val="2"/>
      </rPr>
      <t xml:space="preserve">, the CPS Administrative Fee (cost to the District) is computed. The fee is 3% of the following revenues: (1) Per capita revenues (2) State Bilingual and 2% of Federal Title lll revenues. For this budget, the fees for the State Bilingual and Title 3 revenues are weighted at 2.67%. </t>
    </r>
    <r>
      <rPr>
        <b/>
        <i/>
        <sz val="11"/>
        <rFont val="Arial"/>
        <family val="2"/>
      </rPr>
      <t>There is no data entry in this row</t>
    </r>
    <r>
      <rPr>
        <sz val="11"/>
        <rFont val="Arial"/>
        <family val="2"/>
      </rPr>
      <t>.</t>
    </r>
  </si>
  <si>
    <r>
      <t xml:space="preserve">(b) Federal Title 2 Revenue (Rows 19-22) - </t>
    </r>
    <r>
      <rPr>
        <sz val="11"/>
        <rFont val="Arial"/>
        <family val="2"/>
      </rPr>
      <t>This will calculate automatically by multiplying the estimated rate (</t>
    </r>
    <r>
      <rPr>
        <b/>
        <sz val="11"/>
        <rFont val="Arial"/>
        <family val="2"/>
      </rPr>
      <t>Row 21</t>
    </r>
    <r>
      <rPr>
        <sz val="11"/>
        <rFont val="Arial"/>
        <family val="2"/>
      </rPr>
      <t xml:space="preserve">) of </t>
    </r>
    <r>
      <rPr>
        <b/>
        <sz val="11"/>
        <rFont val="Arial"/>
        <family val="2"/>
      </rPr>
      <t xml:space="preserve">$70 </t>
    </r>
    <r>
      <rPr>
        <sz val="11"/>
        <rFont val="Arial"/>
        <family val="2"/>
      </rPr>
      <t>per student by the total enrollment (</t>
    </r>
    <r>
      <rPr>
        <b/>
        <sz val="11"/>
        <rFont val="Arial"/>
        <family val="2"/>
      </rPr>
      <t>Row 20</t>
    </r>
    <r>
      <rPr>
        <sz val="11"/>
        <rFont val="Arial"/>
        <family val="2"/>
      </rPr>
      <t>). The total Title 2 revenue (</t>
    </r>
    <r>
      <rPr>
        <b/>
        <sz val="11"/>
        <rFont val="Arial"/>
        <family val="2"/>
      </rPr>
      <t>Row 20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13</t>
    </r>
    <r>
      <rPr>
        <sz val="11"/>
        <rFont val="Arial"/>
        <family val="2"/>
      </rPr>
      <t>.</t>
    </r>
  </si>
  <si>
    <r>
      <t>(</t>
    </r>
    <r>
      <rPr>
        <b/>
        <sz val="11"/>
        <rFont val="Arial"/>
        <family val="2"/>
      </rPr>
      <t>c) English Language Learners (ELL) State and Federal Revenues (Rows 38-66)</t>
    </r>
    <r>
      <rPr>
        <sz val="11"/>
        <rFont val="Arial"/>
        <family val="2"/>
      </rPr>
      <t xml:space="preserve"> - For </t>
    </r>
    <r>
      <rPr>
        <b/>
        <u val="single"/>
        <sz val="11"/>
        <rFont val="Arial"/>
        <family val="2"/>
      </rPr>
      <t>State funding</t>
    </r>
    <r>
      <rPr>
        <sz val="11"/>
        <rFont val="Arial"/>
        <family val="2"/>
      </rPr>
      <t xml:space="preserve">, in </t>
    </r>
    <r>
      <rPr>
        <b/>
        <sz val="11"/>
        <rFont val="Arial"/>
        <family val="2"/>
      </rPr>
      <t>Row 40</t>
    </r>
    <r>
      <rPr>
        <sz val="11"/>
        <rFont val="Arial"/>
        <family val="2"/>
      </rPr>
      <t>, enter "</t>
    </r>
    <r>
      <rPr>
        <b/>
        <sz val="11"/>
        <rFont val="Arial"/>
        <family val="2"/>
      </rPr>
      <t>1</t>
    </r>
    <r>
      <rPr>
        <sz val="11"/>
        <rFont val="Arial"/>
        <family val="2"/>
      </rPr>
      <t xml:space="preserve">" only if you are projected to have an ELL enrollment of </t>
    </r>
    <r>
      <rPr>
        <b/>
        <sz val="11"/>
        <rFont val="Arial"/>
        <family val="2"/>
      </rPr>
      <t>100 or more</t>
    </r>
    <r>
      <rPr>
        <sz val="11"/>
        <rFont val="Arial"/>
        <family val="2"/>
      </rPr>
      <t xml:space="preserve"> in any fiscal year; otherwise leave</t>
    </r>
    <r>
      <rPr>
        <b/>
        <sz val="11"/>
        <rFont val="Arial"/>
        <family val="2"/>
      </rPr>
      <t xml:space="preserve"> blank or enter "0"</t>
    </r>
    <r>
      <rPr>
        <sz val="11"/>
        <rFont val="Arial"/>
        <family val="2"/>
      </rPr>
      <t xml:space="preserve">. In </t>
    </r>
    <r>
      <rPr>
        <b/>
        <sz val="11"/>
        <rFont val="Arial"/>
        <family val="2"/>
      </rPr>
      <t>Row 45</t>
    </r>
    <r>
      <rPr>
        <sz val="11"/>
        <rFont val="Arial"/>
        <family val="2"/>
      </rPr>
      <t xml:space="preserve">, enter </t>
    </r>
    <r>
      <rPr>
        <b/>
        <sz val="11"/>
        <rFont val="Arial"/>
        <family val="2"/>
      </rPr>
      <t>20-99</t>
    </r>
    <r>
      <rPr>
        <sz val="11"/>
        <rFont val="Arial"/>
        <family val="2"/>
      </rPr>
      <t xml:space="preserve"> only if you are projecting to have an ELL enrollment of </t>
    </r>
    <r>
      <rPr>
        <b/>
        <sz val="11"/>
        <rFont val="Arial"/>
        <family val="2"/>
      </rPr>
      <t>20-99;</t>
    </r>
    <r>
      <rPr>
        <sz val="11"/>
        <rFont val="Arial"/>
        <family val="2"/>
      </rPr>
      <t xml:space="preserve"> otherwise, leave </t>
    </r>
    <r>
      <rPr>
        <b/>
        <sz val="11"/>
        <rFont val="Arial"/>
        <family val="2"/>
      </rPr>
      <t>blank or enter "0"</t>
    </r>
    <r>
      <rPr>
        <sz val="11"/>
        <rFont val="Arial"/>
        <family val="2"/>
      </rPr>
      <t xml:space="preserve">.                                                                                                                    For </t>
    </r>
    <r>
      <rPr>
        <b/>
        <u val="single"/>
        <sz val="11"/>
        <rFont val="Arial"/>
        <family val="2"/>
      </rPr>
      <t>Federal funding</t>
    </r>
    <r>
      <rPr>
        <sz val="11"/>
        <rFont val="Arial"/>
        <family val="2"/>
      </rPr>
      <t xml:space="preserve">,  in </t>
    </r>
    <r>
      <rPr>
        <b/>
        <sz val="11"/>
        <rFont val="Arial"/>
        <family val="2"/>
      </rPr>
      <t>Row 52</t>
    </r>
    <r>
      <rPr>
        <sz val="11"/>
        <rFont val="Arial"/>
        <family val="2"/>
      </rPr>
      <t>, enter "</t>
    </r>
    <r>
      <rPr>
        <b/>
        <sz val="11"/>
        <rFont val="Arial"/>
        <family val="2"/>
      </rPr>
      <t>1</t>
    </r>
    <r>
      <rPr>
        <sz val="11"/>
        <rFont val="Arial"/>
        <family val="2"/>
      </rPr>
      <t xml:space="preserve">" only if you are projected to have an ELL enrollment of </t>
    </r>
    <r>
      <rPr>
        <b/>
        <sz val="11"/>
        <rFont val="Arial"/>
        <family val="2"/>
      </rPr>
      <t>250 or more</t>
    </r>
    <r>
      <rPr>
        <sz val="11"/>
        <rFont val="Arial"/>
        <family val="2"/>
      </rPr>
      <t xml:space="preserve"> in any fiscal year; otherwise </t>
    </r>
    <r>
      <rPr>
        <b/>
        <sz val="11"/>
        <rFont val="Arial"/>
        <family val="2"/>
      </rPr>
      <t>leave blank or enter "0"</t>
    </r>
    <r>
      <rPr>
        <sz val="11"/>
        <rFont val="Arial"/>
        <family val="2"/>
      </rPr>
      <t xml:space="preserve">. In </t>
    </r>
    <r>
      <rPr>
        <b/>
        <sz val="11"/>
        <rFont val="Arial"/>
        <family val="2"/>
      </rPr>
      <t>Row 58</t>
    </r>
    <r>
      <rPr>
        <sz val="11"/>
        <rFont val="Arial"/>
        <family val="2"/>
      </rPr>
      <t xml:space="preserve">, enter </t>
    </r>
    <r>
      <rPr>
        <b/>
        <sz val="11"/>
        <rFont val="Arial"/>
        <family val="2"/>
      </rPr>
      <t>20-249</t>
    </r>
    <r>
      <rPr>
        <sz val="11"/>
        <rFont val="Arial"/>
        <family val="2"/>
      </rPr>
      <t xml:space="preserve"> only if you are projecting to have an ELL enrollment of </t>
    </r>
    <r>
      <rPr>
        <b/>
        <sz val="11"/>
        <rFont val="Arial"/>
        <family val="2"/>
      </rPr>
      <t>20-249</t>
    </r>
    <r>
      <rPr>
        <sz val="11"/>
        <rFont val="Arial"/>
        <family val="2"/>
      </rPr>
      <t xml:space="preserve">; otherwise, </t>
    </r>
    <r>
      <rPr>
        <b/>
        <sz val="11"/>
        <rFont val="Arial"/>
        <family val="2"/>
      </rPr>
      <t xml:space="preserve">leave bank or enter "0".                                                                                                               </t>
    </r>
    <r>
      <rPr>
        <sz val="11"/>
        <rFont val="Arial"/>
        <family val="2"/>
      </rPr>
      <t xml:space="preserve">                                                                             </t>
    </r>
    <r>
      <rPr>
        <b/>
        <sz val="11"/>
        <rFont val="Arial"/>
        <family val="2"/>
      </rPr>
      <t>Row 66</t>
    </r>
    <r>
      <rPr>
        <sz val="11"/>
        <rFont val="Arial"/>
        <family val="2"/>
      </rPr>
      <t xml:space="preserve"> totals the State and Federal ELL funding and populates </t>
    </r>
    <r>
      <rPr>
        <b/>
        <sz val="11"/>
        <rFont val="Arial"/>
        <family val="2"/>
      </rPr>
      <t>Row 14</t>
    </r>
    <r>
      <rPr>
        <sz val="11"/>
        <rFont val="Arial"/>
        <family val="2"/>
      </rPr>
      <t xml:space="preserve"> of the </t>
    </r>
    <r>
      <rPr>
        <b/>
        <sz val="11"/>
        <rFont val="Arial"/>
        <family val="2"/>
      </rPr>
      <t>Budget with Assumptions</t>
    </r>
    <r>
      <rPr>
        <sz val="11"/>
        <rFont val="Arial"/>
        <family val="2"/>
      </rPr>
      <t xml:space="preserve"> worksheet.                                                                                                                                     </t>
    </r>
    <r>
      <rPr>
        <b/>
        <i/>
        <u val="single"/>
        <sz val="11"/>
        <rFont val="Arial"/>
        <family val="2"/>
      </rPr>
      <t>Note 1: If you are unsure if you will have an ELL population at this time, it is recommended that you leave this section blank</t>
    </r>
    <r>
      <rPr>
        <i/>
        <sz val="11"/>
        <rFont val="Arial"/>
        <family val="2"/>
      </rPr>
      <t>.</t>
    </r>
    <r>
      <rPr>
        <sz val="11"/>
        <rFont val="Arial"/>
        <family val="2"/>
      </rPr>
      <t xml:space="preserve">                                                                                              </t>
    </r>
    <r>
      <rPr>
        <b/>
        <i/>
        <u val="single"/>
        <sz val="11"/>
        <rFont val="Arial"/>
        <family val="2"/>
      </rPr>
      <t>Note 2: Please see the attachment for an overview of ELL Funding.</t>
    </r>
  </si>
  <si>
    <t xml:space="preserve">NOTE: At least 50% of  a charter school's instructional positions should hold teaching licenses in the first year of operation. At the beginning of the fourth year and thereafter, at least 75% of the instructional positions should be licensed.   </t>
  </si>
  <si>
    <r>
      <t xml:space="preserve">       </t>
    </r>
    <r>
      <rPr>
        <b/>
        <sz val="11"/>
        <rFont val="Arial"/>
        <family val="2"/>
      </rPr>
      <t>5</t>
    </r>
    <r>
      <rPr>
        <sz val="11"/>
        <rFont val="Arial"/>
        <family val="2"/>
      </rPr>
      <t>) Other</t>
    </r>
  </si>
  <si>
    <r>
      <rPr>
        <sz val="11"/>
        <rFont val="Arial"/>
        <family val="2"/>
      </rP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</si>
  <si>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       </t>
    </r>
    <r>
      <rPr>
        <b/>
        <sz val="11"/>
        <rFont val="Arial"/>
        <family val="2"/>
      </rPr>
      <t>4</t>
    </r>
    <r>
      <rPr>
        <sz val="11"/>
        <rFont val="Arial"/>
        <family val="2"/>
      </rPr>
      <t>)</t>
    </r>
    <r>
      <rPr>
        <sz val="11"/>
        <color indexed="10"/>
        <rFont val="Arial"/>
        <family val="2"/>
      </rPr>
      <t xml:space="preserve"> </t>
    </r>
    <r>
      <rPr>
        <sz val="11"/>
        <rFont val="Arial"/>
        <family val="2"/>
      </rPr>
      <t>% of Salaries</t>
    </r>
  </si>
  <si>
    <t>9-12 Enrollment*</t>
  </si>
  <si>
    <r>
      <t>Include loan proceeds in</t>
    </r>
    <r>
      <rPr>
        <b/>
        <sz val="10"/>
        <rFont val="Arial"/>
        <family val="2"/>
      </rPr>
      <t xml:space="preserve"> Row 20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</si>
  <si>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121</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</si>
  <si>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136</t>
    </r>
    <r>
      <rPr>
        <sz val="10"/>
        <rFont val="Arial"/>
        <family val="2"/>
      </rPr>
      <t xml:space="preserve">) </t>
    </r>
    <r>
      <rPr>
        <b/>
        <i/>
        <sz val="10"/>
        <rFont val="Arial"/>
        <family val="2"/>
      </rPr>
      <t>must</t>
    </r>
    <r>
      <rPr>
        <sz val="10"/>
        <rFont val="Arial"/>
        <family val="2"/>
      </rPr>
      <t xml:space="preserve"> include the debt service payments for the non-facility loan.</t>
    </r>
  </si>
  <si>
    <r>
      <t>Please note that salaries are divided into two sections (</t>
    </r>
    <r>
      <rPr>
        <b/>
        <i/>
        <sz val="11"/>
        <rFont val="Arial"/>
        <family val="2"/>
      </rPr>
      <t>with the exception of the incubation year</t>
    </r>
    <r>
      <rPr>
        <sz val="11"/>
        <rFont val="Arial"/>
        <family val="2"/>
      </rPr>
      <t xml:space="preserve">).Positions with an Illinois certificate for teaching will participate in the CTPF. The non-certified personnel of a charter school will </t>
    </r>
    <r>
      <rPr>
        <b/>
        <i/>
        <sz val="11"/>
        <rFont val="Arial"/>
        <family val="2"/>
      </rPr>
      <t>NOT</t>
    </r>
    <r>
      <rPr>
        <sz val="11"/>
        <rFont val="Arial"/>
        <family val="2"/>
      </rPr>
      <t xml:space="preserve"> participate in the CTPF. If you are selected to operate a charter school, you will be asked to contact the CTPF for further details regarding the timing and the eligibility of your employees to be members of the CTPF.</t>
    </r>
  </si>
  <si>
    <r>
      <rPr>
        <b/>
        <sz val="11"/>
        <rFont val="Arial"/>
        <family val="2"/>
      </rPr>
      <t>a)</t>
    </r>
    <r>
      <rPr>
        <sz val="11"/>
        <rFont val="Arial"/>
        <family val="2"/>
      </rPr>
      <t xml:space="preserve"> In </t>
    </r>
    <r>
      <rPr>
        <b/>
        <sz val="11"/>
        <rFont val="Arial"/>
        <family val="2"/>
      </rPr>
      <t>Column C (Sections 1 &amp; 2)</t>
    </r>
    <r>
      <rPr>
        <sz val="11"/>
        <rFont val="Arial"/>
        <family val="2"/>
      </rPr>
      <t xml:space="preserve">, enter the average salary per position. Please note that beginning in </t>
    </r>
    <r>
      <rPr>
        <b/>
        <sz val="11"/>
        <rFont val="Arial"/>
        <family val="2"/>
      </rPr>
      <t>Year 2,</t>
    </r>
    <r>
      <rPr>
        <sz val="11"/>
        <rFont val="Arial"/>
        <family val="2"/>
      </rPr>
      <t xml:space="preserve"> the average salaries (Column "C") are carried forward from the previous fiscal year. You can leave them unchanged, change them manually, or enter a % in </t>
    </r>
    <r>
      <rPr>
        <b/>
        <sz val="11"/>
        <rFont val="Arial"/>
        <family val="2"/>
      </rPr>
      <t>Cell B5</t>
    </r>
    <r>
      <rPr>
        <sz val="11"/>
        <rFont val="Arial"/>
        <family val="2"/>
      </rPr>
      <t xml:space="preserve"> if you want to increase them from the prior year. Please note that if you enter a % in </t>
    </r>
    <r>
      <rPr>
        <b/>
        <sz val="11"/>
        <rFont val="Arial"/>
        <family val="2"/>
      </rPr>
      <t>Cell B5</t>
    </r>
    <r>
      <rPr>
        <sz val="11"/>
        <rFont val="Arial"/>
        <family val="2"/>
      </rPr>
      <t xml:space="preserve"> that will increase </t>
    </r>
    <r>
      <rPr>
        <b/>
        <sz val="11"/>
        <rFont val="Arial"/>
        <family val="2"/>
      </rPr>
      <t>all</t>
    </r>
    <r>
      <rPr>
        <sz val="11"/>
        <rFont val="Arial"/>
        <family val="2"/>
      </rPr>
      <t xml:space="preserve"> of the salaries carried forward from the previous fiscal year.</t>
    </r>
  </si>
  <si>
    <r>
      <rPr>
        <b/>
        <sz val="11"/>
        <rFont val="Arial"/>
        <family val="2"/>
      </rPr>
      <t>(a) Federal Title 1 Revenue (Rows 8-16)</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9</t>
    </r>
    <r>
      <rPr>
        <sz val="11"/>
        <rFont val="Arial"/>
        <family val="2"/>
      </rPr>
      <t xml:space="preserve"> are your school's budgeted enrollments, and in </t>
    </r>
    <r>
      <rPr>
        <b/>
        <sz val="11"/>
        <rFont val="Arial"/>
        <family val="2"/>
      </rPr>
      <t>Row 10</t>
    </r>
    <r>
      <rPr>
        <sz val="11"/>
        <rFont val="Arial"/>
        <family val="2"/>
      </rPr>
      <t xml:space="preserve"> is the FRL%. Row 11 is calculated by multiplying rows 9 &amp; 10. </t>
    </r>
    <r>
      <rPr>
        <b/>
        <sz val="11"/>
        <rFont val="Arial"/>
        <family val="2"/>
      </rPr>
      <t>Row 12</t>
    </r>
    <r>
      <rPr>
        <sz val="11"/>
        <rFont val="Arial"/>
        <family val="2"/>
      </rPr>
      <t xml:space="preserve"> is the number of students eligible for FRL (</t>
    </r>
    <r>
      <rPr>
        <b/>
        <sz val="11"/>
        <rFont val="Arial"/>
        <family val="2"/>
      </rPr>
      <t>Row 11 x FRL 60%</t>
    </r>
    <r>
      <rPr>
        <sz val="11"/>
        <rFont val="Arial"/>
        <family val="2"/>
      </rPr>
      <t xml:space="preserve">). In </t>
    </r>
    <r>
      <rPr>
        <b/>
        <sz val="11"/>
        <rFont val="Arial"/>
        <family val="2"/>
      </rPr>
      <t>Row 12</t>
    </r>
    <r>
      <rPr>
        <sz val="11"/>
        <rFont val="Arial"/>
        <family val="2"/>
      </rPr>
      <t xml:space="preserve"> is the calculation (</t>
    </r>
    <r>
      <rPr>
        <b/>
        <sz val="11"/>
        <rFont val="Arial"/>
        <family val="2"/>
      </rPr>
      <t>Row 11 x 60%</t>
    </r>
    <r>
      <rPr>
        <sz val="11"/>
        <rFont val="Arial"/>
        <family val="2"/>
      </rPr>
      <t xml:space="preserve">) for the number of Title 1 eligible students. In </t>
    </r>
    <r>
      <rPr>
        <b/>
        <sz val="11"/>
        <rFont val="Arial"/>
        <family val="2"/>
      </rPr>
      <t>Row 14</t>
    </r>
    <r>
      <rPr>
        <sz val="11"/>
        <rFont val="Arial"/>
        <family val="2"/>
      </rPr>
      <t xml:space="preserve"> is the calculation of the Poverty Index (Title 1 eligible students/Total Enrollment or </t>
    </r>
    <r>
      <rPr>
        <b/>
        <sz val="11"/>
        <rFont val="Arial"/>
        <family val="2"/>
      </rPr>
      <t>Row 12/Row 9</t>
    </r>
    <r>
      <rPr>
        <sz val="11"/>
        <rFont val="Arial"/>
        <family val="2"/>
      </rPr>
      <t xml:space="preserve">). If the % is greater than 40%, the school is eligible for Title 1 funding. </t>
    </r>
    <r>
      <rPr>
        <b/>
        <i/>
        <sz val="11"/>
        <rFont val="Arial"/>
        <family val="2"/>
      </rPr>
      <t>If it is below 40%, Title 1 revenue is zero.</t>
    </r>
  </si>
  <si>
    <r>
      <t xml:space="preserve">For the Incubation Year </t>
    </r>
    <r>
      <rPr>
        <b/>
        <sz val="11"/>
        <rFont val="Arial"/>
        <family val="2"/>
      </rPr>
      <t>(Column J)</t>
    </r>
    <r>
      <rPr>
        <sz val="11"/>
        <rFont val="Arial"/>
        <family val="2"/>
      </rPr>
      <t xml:space="preserve"> - With the exception of </t>
    </r>
    <r>
      <rPr>
        <b/>
        <sz val="11"/>
        <rFont val="Arial"/>
        <family val="2"/>
      </rPr>
      <t>Cells J16-J26, J61-J64, and J66-J67,</t>
    </r>
    <r>
      <rPr>
        <sz val="11"/>
        <rFont val="Arial"/>
        <family val="2"/>
      </rPr>
      <t xml:space="preserve"> the budgeted amounts for the incubation year should be entered manually.</t>
    </r>
  </si>
  <si>
    <t>a) Revenues - Most of the cells are pre-populated with amounts from the "Revenues-Per Capita" and the "Revenues-Federal &amp; State." worksheets. For the other revenues, please manualy enter data into the spreadsheet. Please enter the assumptions for these revenues in Column H. As noted in the Guidelines Section of this worksheet, applicants who include revenue through grants and/or fundraising must attach a detailed fundraising plan in the appendix. Food Services revenue will not be budgeted at this time. It typically zeros-out with the related expenses.</t>
  </si>
  <si>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manually entered into </t>
    </r>
    <r>
      <rPr>
        <b/>
        <sz val="11"/>
        <rFont val="Arial"/>
        <family val="2"/>
      </rPr>
      <t>Columns L, N, P, R, and T</t>
    </r>
    <r>
      <rPr>
        <sz val="11"/>
        <rFont val="Arial"/>
        <family val="2"/>
      </rPr>
      <t xml:space="preserve">. </t>
    </r>
  </si>
  <si>
    <t>Note: For the expenses that have Dropdown Boxes, the corresponding cells in Columns L, N, P, R, and T are populated with formulas to calculate the amount based on what you select. THESE CELLS ARE NOT PROTECTED. As mentioned above, if you select "Other", please manually enter the amounts into the appropriate cells; however, that will delete the formulas that are in the cells.</t>
  </si>
  <si>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manually entered in Columns L, N, P, R, and T (i.e., select: fixed per year, per pupil, per employee, or % of salaries in the dropdown boxes if appropriate)</t>
    </r>
    <r>
      <rPr>
        <b/>
        <sz val="11"/>
        <rFont val="Arial"/>
        <family val="2"/>
      </rPr>
      <t>.</t>
    </r>
  </si>
  <si>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121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20</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136</t>
    </r>
    <r>
      <rPr>
        <sz val="11"/>
        <rFont val="Arial"/>
        <family val="2"/>
      </rPr>
      <t>.</t>
    </r>
  </si>
  <si>
    <t>Non-Facility Loan Payments (Principal &amp; Interest)</t>
  </si>
  <si>
    <r>
      <rPr>
        <b/>
        <sz val="11"/>
        <rFont val="Arial"/>
        <family val="2"/>
      </rPr>
      <t>b) Column E (Section 1)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t>
    </r>
    <r>
      <rPr>
        <b/>
        <sz val="11"/>
        <rFont val="Arial"/>
        <family val="2"/>
      </rPr>
      <t>Cell E12</t>
    </r>
    <r>
      <rPr>
        <sz val="11"/>
        <rFont val="Arial"/>
        <family val="2"/>
      </rPr>
      <t xml:space="preserve"> for the portion that the school/employer will pick-up. The percentage entered in </t>
    </r>
    <r>
      <rPr>
        <b/>
        <sz val="11"/>
        <rFont val="Arial"/>
        <family val="2"/>
      </rPr>
      <t>E12</t>
    </r>
    <r>
      <rPr>
        <sz val="11"/>
        <rFont val="Arial"/>
        <family val="2"/>
      </rPr>
      <t xml:space="preserve"> will be multiplied by the total pensionable salaries and wages in </t>
    </r>
    <r>
      <rPr>
        <b/>
        <sz val="11"/>
        <rFont val="Arial"/>
        <family val="2"/>
      </rPr>
      <t>Column D</t>
    </r>
    <r>
      <rPr>
        <sz val="11"/>
        <rFont val="Arial"/>
        <family val="2"/>
      </rPr>
      <t xml:space="preserve">, and calculate the expense. </t>
    </r>
    <r>
      <rPr>
        <b/>
        <sz val="11"/>
        <rFont val="Arial"/>
        <family val="2"/>
      </rPr>
      <t>Cell E28</t>
    </r>
    <r>
      <rPr>
        <sz val="11"/>
        <rFont val="Arial"/>
        <family val="2"/>
      </rPr>
      <t xml:space="preserve"> totals the expense and populates </t>
    </r>
    <r>
      <rPr>
        <b/>
        <sz val="11"/>
        <rFont val="Arial"/>
        <family val="2"/>
      </rPr>
      <t>Row 64 of the Budget with Assumptions</t>
    </r>
    <r>
      <rPr>
        <sz val="11"/>
        <rFont val="Arial"/>
        <family val="2"/>
      </rPr>
      <t xml:space="preserve"> worksheet.</t>
    </r>
  </si>
  <si>
    <r>
      <rPr>
        <b/>
        <sz val="11"/>
        <rFont val="Arial"/>
        <family val="2"/>
      </rPr>
      <t>c)</t>
    </r>
    <r>
      <rPr>
        <sz val="11"/>
        <rFont val="Arial"/>
        <family val="2"/>
      </rPr>
      <t xml:space="preserve"> </t>
    </r>
    <r>
      <rPr>
        <b/>
        <sz val="11"/>
        <rFont val="Arial"/>
        <family val="2"/>
      </rPr>
      <t>Column E</t>
    </r>
    <r>
      <rPr>
        <sz val="11"/>
        <rFont val="Arial"/>
        <family val="2"/>
      </rPr>
      <t xml:space="preserve">  </t>
    </r>
    <r>
      <rPr>
        <b/>
        <sz val="11"/>
        <rFont val="Arial"/>
        <family val="2"/>
      </rPr>
      <t>(Section 2)</t>
    </r>
    <r>
      <rPr>
        <sz val="11"/>
        <rFont val="Arial"/>
        <family val="2"/>
      </rPr>
      <t xml:space="preserve"> - For employees who do </t>
    </r>
    <r>
      <rPr>
        <b/>
        <sz val="11"/>
        <rFont val="Arial"/>
        <family val="2"/>
      </rPr>
      <t xml:space="preserve">not </t>
    </r>
    <r>
      <rPr>
        <sz val="11"/>
        <rFont val="Arial"/>
        <family val="2"/>
      </rPr>
      <t xml:space="preserve">participate in the CTPF, the employer's share of FICA is calculated (6.2% of salaries).  </t>
    </r>
    <r>
      <rPr>
        <b/>
        <sz val="11"/>
        <rFont val="Arial"/>
        <family val="2"/>
      </rPr>
      <t>Cell E63</t>
    </r>
    <r>
      <rPr>
        <sz val="11"/>
        <rFont val="Arial"/>
        <family val="2"/>
      </rPr>
      <t xml:space="preserve"> totals the expense and populates </t>
    </r>
    <r>
      <rPr>
        <b/>
        <sz val="11"/>
        <rFont val="Arial"/>
        <family val="2"/>
      </rPr>
      <t>Row 66</t>
    </r>
    <r>
      <rPr>
        <sz val="11"/>
        <rFont val="Arial"/>
        <family val="2"/>
      </rPr>
      <t xml:space="preserve"> of the </t>
    </r>
    <r>
      <rPr>
        <b/>
        <sz val="11"/>
        <rFont val="Arial"/>
        <family val="2"/>
      </rPr>
      <t>Budget with Assumptions</t>
    </r>
    <r>
      <rPr>
        <sz val="11"/>
        <rFont val="Arial"/>
        <family val="2"/>
      </rPr>
      <t xml:space="preserve"> worksheet.</t>
    </r>
  </si>
  <si>
    <r>
      <t>d</t>
    </r>
    <r>
      <rPr>
        <b/>
        <sz val="11"/>
        <rFont val="Arial"/>
        <family val="2"/>
      </rPr>
      <t>)</t>
    </r>
    <r>
      <rPr>
        <sz val="11"/>
        <rFont val="Arial"/>
        <family val="2"/>
      </rPr>
      <t xml:space="preserve"> </t>
    </r>
    <r>
      <rPr>
        <b/>
        <sz val="11"/>
        <rFont val="Arial"/>
        <family val="2"/>
      </rPr>
      <t>Column F</t>
    </r>
    <r>
      <rPr>
        <sz val="11"/>
        <rFont val="Arial"/>
        <family val="2"/>
      </rPr>
      <t xml:space="preserve"> </t>
    </r>
    <r>
      <rPr>
        <b/>
        <sz val="11"/>
        <rFont val="Arial"/>
        <family val="2"/>
      </rPr>
      <t>(Section 1)</t>
    </r>
    <r>
      <rPr>
        <sz val="11"/>
        <rFont val="Arial"/>
        <family val="2"/>
      </rPr>
      <t xml:space="preserve"> - A charter school is responsible for the employer's share of the annual cost of the pension expense. It is currently estimated at </t>
    </r>
    <r>
      <rPr>
        <b/>
        <sz val="11"/>
        <rFont val="Arial"/>
        <family val="2"/>
      </rPr>
      <t>11.16%</t>
    </r>
    <r>
      <rPr>
        <sz val="11"/>
        <rFont val="Arial"/>
        <family val="2"/>
      </rPr>
      <t xml:space="preserve"> (</t>
    </r>
    <r>
      <rPr>
        <b/>
        <sz val="11"/>
        <rFont val="Arial"/>
        <family val="2"/>
      </rPr>
      <t>Cell F12</t>
    </r>
    <r>
      <rPr>
        <sz val="11"/>
        <rFont val="Arial"/>
        <family val="2"/>
      </rPr>
      <t xml:space="preserve">) of pensionable salaries. The expense is calculated by taking the pensionable salaries in </t>
    </r>
    <r>
      <rPr>
        <b/>
        <sz val="11"/>
        <rFont val="Arial"/>
        <family val="2"/>
      </rPr>
      <t>Column D</t>
    </r>
    <r>
      <rPr>
        <sz val="11"/>
        <rFont val="Arial"/>
        <family val="2"/>
      </rPr>
      <t xml:space="preserve"> times </t>
    </r>
    <r>
      <rPr>
        <b/>
        <sz val="11"/>
        <rFont val="Arial"/>
        <family val="2"/>
      </rPr>
      <t>11.16%</t>
    </r>
    <r>
      <rPr>
        <sz val="11"/>
        <rFont val="Arial"/>
        <family val="2"/>
      </rPr>
      <t xml:space="preserve">. </t>
    </r>
    <r>
      <rPr>
        <b/>
        <sz val="11"/>
        <rFont val="Arial"/>
        <family val="2"/>
      </rPr>
      <t>Cell F28</t>
    </r>
    <r>
      <rPr>
        <sz val="11"/>
        <rFont val="Arial"/>
        <family val="2"/>
      </rPr>
      <t xml:space="preserve">  totals the expense and populates </t>
    </r>
    <r>
      <rPr>
        <b/>
        <sz val="11"/>
        <rFont val="Arial"/>
        <family val="2"/>
      </rPr>
      <t>Row 63</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</si>
  <si>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e)</t>
    </r>
    <r>
      <rPr>
        <sz val="11"/>
        <rFont val="Arial"/>
        <family val="2"/>
      </rPr>
      <t xml:space="preserve"> </t>
    </r>
    <r>
      <rPr>
        <b/>
        <sz val="11"/>
        <rFont val="Arial"/>
        <family val="2"/>
      </rPr>
      <t>Cell B62</t>
    </r>
    <r>
      <rPr>
        <sz val="11"/>
        <rFont val="Arial"/>
        <family val="2"/>
      </rPr>
      <t xml:space="preserve"> totals the salaries from Section 1 and Section 2 and populates </t>
    </r>
    <r>
      <rPr>
        <b/>
        <sz val="11"/>
        <rFont val="Arial"/>
        <family val="2"/>
      </rPr>
      <t>Row 62</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</si>
  <si>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g)</t>
    </r>
    <r>
      <rPr>
        <sz val="11"/>
        <rFont val="Arial"/>
        <family val="2"/>
      </rPr>
      <t xml:space="preserve"> </t>
    </r>
    <r>
      <rPr>
        <b/>
        <sz val="11"/>
        <rFont val="Arial"/>
        <family val="2"/>
      </rPr>
      <t>Cell B74</t>
    </r>
    <r>
      <rPr>
        <sz val="11"/>
        <rFont val="Arial"/>
        <family val="2"/>
      </rPr>
      <t xml:space="preserve"> totals the number of employees from Section 1 and Section 2 and populates </t>
    </r>
    <r>
      <rPr>
        <b/>
        <sz val="11"/>
        <rFont val="Arial"/>
        <family val="2"/>
      </rPr>
      <t>Row 165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</si>
  <si>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f)</t>
    </r>
    <r>
      <rPr>
        <sz val="11"/>
        <rFont val="Arial"/>
        <family val="2"/>
      </rPr>
      <t xml:space="preserve"> </t>
    </r>
    <r>
      <rPr>
        <b/>
        <sz val="11"/>
        <rFont val="Arial"/>
        <family val="2"/>
      </rPr>
      <t>Cell B68</t>
    </r>
    <r>
      <rPr>
        <sz val="11"/>
        <rFont val="Arial"/>
        <family val="2"/>
      </rPr>
      <t xml:space="preserve"> totals the Medicare expense from Section 1 and Section 2 and populates </t>
    </r>
    <r>
      <rPr>
        <b/>
        <sz val="11"/>
        <rFont val="Arial"/>
        <family val="2"/>
      </rPr>
      <t>Row 67</t>
    </r>
    <r>
      <rPr>
        <sz val="11"/>
        <rFont val="Arial"/>
        <family val="2"/>
      </rPr>
      <t xml:space="preserve"> of the</t>
    </r>
    <r>
      <rPr>
        <b/>
        <sz val="11"/>
        <rFont val="Arial"/>
        <family val="2"/>
      </rPr>
      <t xml:space="preserve"> Budget with Assumptions</t>
    </r>
    <r>
      <rPr>
        <sz val="11"/>
        <rFont val="Arial"/>
        <family val="2"/>
      </rPr>
      <t xml:space="preserve"> worksheet.</t>
    </r>
  </si>
  <si>
    <t>Please Enter your School Name (B1):</t>
  </si>
  <si>
    <t>2020 RFP Budget Instructions</t>
  </si>
  <si>
    <r>
      <rPr>
        <b/>
        <sz val="11"/>
        <rFont val="Arial"/>
        <family val="2"/>
      </rPr>
      <t xml:space="preserve">This budget template is for 2020 RFP applicants </t>
    </r>
    <r>
      <rPr>
        <sz val="11"/>
        <rFont val="Arial"/>
        <family val="2"/>
      </rPr>
      <t xml:space="preserve">proposing to open a </t>
    </r>
    <r>
      <rPr>
        <b/>
        <sz val="11"/>
        <rFont val="Arial"/>
        <family val="2"/>
      </rPr>
      <t>C</t>
    </r>
    <r>
      <rPr>
        <b/>
        <i/>
        <sz val="11"/>
        <rFont val="Arial"/>
        <family val="2"/>
      </rPr>
      <t>harter or Contract School only</t>
    </r>
    <r>
      <rPr>
        <sz val="11"/>
        <rFont val="Arial"/>
        <family val="2"/>
      </rPr>
      <t>.</t>
    </r>
  </si>
  <si>
    <r>
      <t xml:space="preserve">The budget is for a six-year period (incubation and the first five years of operations). The </t>
    </r>
    <r>
      <rPr>
        <b/>
        <sz val="11"/>
        <rFont val="Arial"/>
        <family val="2"/>
      </rPr>
      <t>incubation year</t>
    </r>
    <r>
      <rPr>
        <sz val="11"/>
        <rFont val="Arial"/>
        <family val="2"/>
      </rPr>
      <t xml:space="preserve"> will be the fiscal year ending </t>
    </r>
    <r>
      <rPr>
        <b/>
        <sz val="11"/>
        <rFont val="Arial"/>
        <family val="2"/>
      </rPr>
      <t>June 30, 2021</t>
    </r>
    <r>
      <rPr>
        <sz val="11"/>
        <rFont val="Arial"/>
        <family val="2"/>
      </rPr>
      <t xml:space="preserve">. The </t>
    </r>
    <r>
      <rPr>
        <b/>
        <sz val="11"/>
        <rFont val="Arial"/>
        <family val="2"/>
      </rPr>
      <t>first year of operation</t>
    </r>
    <r>
      <rPr>
        <sz val="11"/>
        <rFont val="Arial"/>
        <family val="2"/>
      </rPr>
      <t xml:space="preserve"> will be the fiscal year ending </t>
    </r>
    <r>
      <rPr>
        <b/>
        <sz val="11"/>
        <rFont val="Arial"/>
        <family val="2"/>
      </rPr>
      <t>June 30, 2022</t>
    </r>
    <r>
      <rPr>
        <sz val="11"/>
        <rFont val="Arial"/>
        <family val="2"/>
      </rPr>
      <t>.</t>
    </r>
  </si>
  <si>
    <t>Section # 1                                FY 2021 (Incubation Year -Staffing )</t>
  </si>
  <si>
    <t xml:space="preserve">SECTION # 1                                             FY 2022 (1st Year of Operation ) </t>
  </si>
  <si>
    <t xml:space="preserve">SECTION # 2                                             FY 2022 (1st Year of Operation ) </t>
  </si>
  <si>
    <t xml:space="preserve">SECTION # 1                                             FY 2023 (2nd Year of Operation ) </t>
  </si>
  <si>
    <t xml:space="preserve">SECTION # 2                                             FY 2023 (2nd Year of Operation ) </t>
  </si>
  <si>
    <t xml:space="preserve">SECTION # 2                                             FY 2024 (3rd Year of Operation ) </t>
  </si>
  <si>
    <t xml:space="preserve">SECTION # 1                                             FY 2024 (3rd Year of Operation ) </t>
  </si>
  <si>
    <t xml:space="preserve">SECTION # 1                                             FY 2025 (4th Year of Operation ) </t>
  </si>
  <si>
    <t xml:space="preserve">SECTION # 2                                             FY 2025 (4th Year of Operation ) </t>
  </si>
  <si>
    <t xml:space="preserve">SECTION # 1                                             FY 2026 (5th Year of Operation ) </t>
  </si>
  <si>
    <t xml:space="preserve">SECTION # 2                                             FY 2026 (5th Year of Operation ) </t>
  </si>
  <si>
    <t>Incubation Year (Fiscal Year Ending 6/30/21)</t>
  </si>
  <si>
    <t>SBB</t>
  </si>
  <si>
    <t>Non-SBB</t>
  </si>
  <si>
    <t>4-8 Grades</t>
  </si>
  <si>
    <t>4-8 Enrollment</t>
  </si>
  <si>
    <t>K-3 Rate</t>
  </si>
  <si>
    <t>K-3 Enrollment</t>
  </si>
  <si>
    <t>SBB &amp; Non-SBB Funding</t>
  </si>
  <si>
    <t>SBB and Non-SBB rates</t>
  </si>
  <si>
    <t>Enrollment dictates the SBB and Non-SBB rates given to each school.</t>
  </si>
  <si>
    <t xml:space="preserve">There are 3 different amounts, depending on the grades of each student. Entering enrollment in the tab will populate both the SBB and Non-SBB revenue. </t>
  </si>
  <si>
    <t>H) Revenues-SBB &amp; Non-SBB</t>
  </si>
  <si>
    <t>(H) Revenues</t>
  </si>
  <si>
    <t>Rate Per Student (Grades 5-8)</t>
  </si>
  <si>
    <t>Number of Students</t>
  </si>
  <si>
    <t>Total Revenue</t>
  </si>
  <si>
    <t>LRE 1</t>
  </si>
  <si>
    <t>LRE 2</t>
  </si>
  <si>
    <t>LRE 3</t>
  </si>
  <si>
    <t>Supplemental Aid</t>
  </si>
  <si>
    <t>Facilities Supplement</t>
  </si>
  <si>
    <t>PLEASE NOTE THE ABOVE RATES ARE FOR FY19-20.  NEW RATES HAVE NOT BEEN RELEASED.</t>
  </si>
  <si>
    <t>Speech only LREs are not funded.</t>
  </si>
  <si>
    <t>Supplemental Aid is distributed based on availability of local funds and demographics; subject to change</t>
  </si>
  <si>
    <t xml:space="preserve">Facilities Supplement is paid for each student in an independent facility. </t>
  </si>
  <si>
    <t>FY2022</t>
  </si>
  <si>
    <t>FY2023</t>
  </si>
  <si>
    <t>FY2024</t>
  </si>
  <si>
    <t>FY2025</t>
  </si>
  <si>
    <t>FY2026</t>
  </si>
  <si>
    <t>Head of School</t>
  </si>
  <si>
    <t>Assistant Head of School</t>
  </si>
  <si>
    <t>Student Supports Coordinator</t>
  </si>
  <si>
    <t>Special Education Teacher</t>
  </si>
  <si>
    <t>Teaching Fellow</t>
  </si>
  <si>
    <t>Dean of Students</t>
  </si>
  <si>
    <t>Office Manager</t>
  </si>
  <si>
    <t>Student Uniforms</t>
  </si>
  <si>
    <t>Student Culture</t>
  </si>
  <si>
    <t>Assumes internal coverage when team members are out</t>
  </si>
  <si>
    <t>Assumes annual cost in legal fees for counsel on retainer</t>
  </si>
  <si>
    <t>Assumes $30 per biweekly payroll service</t>
  </si>
  <si>
    <t>Assumes $5 per student per year for parent communication</t>
  </si>
  <si>
    <t>Physical Education Materials</t>
  </si>
  <si>
    <t>Art Supplies</t>
  </si>
  <si>
    <t>Field Trips</t>
  </si>
  <si>
    <t>Assumes $13 per student for one field trip each year to cover the cost of one bus at $500 per grade, plus $250 for admissions and other field trip expenses</t>
  </si>
  <si>
    <t>Assumes internal coverage</t>
  </si>
  <si>
    <t>Saturday Academy</t>
  </si>
  <si>
    <t>Data System</t>
  </si>
  <si>
    <t>Chicago Preparatory Charter Middle School</t>
  </si>
  <si>
    <t>Assumes $25 per uniform provided to 1/3 of students based on need.</t>
  </si>
  <si>
    <t>Assumes cost of PE equiptment to include sporting goods, cones, whistles</t>
  </si>
  <si>
    <t>Assumes $100 per staff member per year for meals, Teacher Appreciation Week, and other small acts of gratitude</t>
  </si>
  <si>
    <t>Summer School</t>
  </si>
  <si>
    <t>$ 8/sq ft</t>
  </si>
  <si>
    <t>Operations Associate</t>
  </si>
  <si>
    <t>Assumes $1500 per new classroom for whiteboard, bulletin boards, and timers, and $750 per small classroom for specialized services in Y1.</t>
  </si>
  <si>
    <t>$3/sq fot</t>
  </si>
  <si>
    <t>Assumes $50 per month for video surveillance with $3500 in installation costs</t>
  </si>
  <si>
    <t>Assumes included with repairs and maintenance</t>
  </si>
  <si>
    <t>Manager of Operations</t>
  </si>
  <si>
    <t xml:space="preserve">Assumes $400 per month totalling $4800 per year for internet and phone service + $6,000 initial installation in incubation year. </t>
  </si>
  <si>
    <t>General Liability/Abuse/Crime/Auto/Employee Benefits/Educators E&amp;O Insurance</t>
  </si>
  <si>
    <t>Directors &amp; Officers / Employment Practices / Fiduciary Insurance</t>
  </si>
  <si>
    <t>Workers Compensation/Employers Liability Insurance</t>
  </si>
  <si>
    <t>Excess $10 million Limits Insurance</t>
  </si>
  <si>
    <t>Included below in line 145</t>
  </si>
  <si>
    <t>Included below in line 147</t>
  </si>
  <si>
    <t>Included in General Liability, line 145</t>
  </si>
  <si>
    <t>Included below in line 148</t>
  </si>
  <si>
    <t>See amounts in Expense Assumption  H38</t>
  </si>
  <si>
    <t xml:space="preserve">Assumes $200 per student for consumable instructional supplies including copy paper and other classroom supplies. </t>
  </si>
  <si>
    <t>See amounts in Expense Assumption in H81</t>
  </si>
  <si>
    <t xml:space="preserve">Assumes supply costs are ncluded in custodial services outlined below. </t>
  </si>
  <si>
    <t>See amounts in Expense Assumptions H 138</t>
  </si>
  <si>
    <t>Assumes all travel related expenses for professional development are covered in Professional Development, line 77.</t>
  </si>
  <si>
    <t>Assumes $18 per student each year for NWEA MAP @$14 per student and Accelerated Reader @$4 per student. Assumes WIDA/ACCESS @ $25 per student for 3% of the student population. Also assumes $1500 in Y1 for NWEA MAP Training and $1600 initial fee for Accelerated Reader</t>
  </si>
  <si>
    <t>Assumes $100 per newly enrolled student for desks and chairs, plus 2 extra sets per classroom. Assumes purchases are made the spring/summer prior to each school year, i.e.desk and chairs  for Y1 are purchased during the incubation year.</t>
  </si>
  <si>
    <t>Assumes $400/per month for general IT Help Desk support to include website monitoring/blocking software for student Chromebooks.</t>
  </si>
  <si>
    <t>Student Supplemental Materials</t>
  </si>
  <si>
    <t>Assumes 10K annually for Student Information System such as Schoolrunner</t>
  </si>
  <si>
    <t>Assumes 3% Employer match to 403b for employees not participating in CTPF</t>
  </si>
  <si>
    <t>Assumes included with all insurance, line 148</t>
  </si>
  <si>
    <t>Assumes 6.2% of all salaries not participating in CTPF.</t>
  </si>
  <si>
    <t>Assumes 8.7% of salaries contributed to health, dental, and life insurance.</t>
  </si>
  <si>
    <t>See amounts in Expense Assumption in H76</t>
  </si>
  <si>
    <t>Assumes $10 per student annually for printing of Student Handbook and all enrollment materials.</t>
  </si>
  <si>
    <t>Assumes $1000 per year for property insurance through Scholastic First Insurance based on quote from Arthur J. Gallagher &amp; Co.</t>
  </si>
  <si>
    <t>Assumes 2% of salaries for state unemployment taxes per https://www2.illinois.gov/ides/Pages/annual_employer_contribution_tax_rates.aspx</t>
  </si>
  <si>
    <t>$1.50/sq ft</t>
  </si>
  <si>
    <t>$2.50/sq ft</t>
  </si>
  <si>
    <t>Family Engagement</t>
  </si>
  <si>
    <t>Assumes monthly family event @100 per event for 10 months of the year.</t>
  </si>
  <si>
    <t>See amounts in Expense Assumption  H45</t>
  </si>
  <si>
    <t>Assumes 15% student population requiring special education supplies, materials, and services averaging $2000  per student including but not limited to Speech &amp; Language, OT, PT, and counseling.</t>
  </si>
  <si>
    <t>Special Education Teachers</t>
  </si>
  <si>
    <t>Assumes $50 per student for 20% of the student population in need of additional supplemental materials to include phonics curriculum and additional resources for remediation.</t>
  </si>
  <si>
    <t>Assumes 11.16% Employer contribution to CTPF.</t>
  </si>
  <si>
    <t>Assumes 1.45% Medicare contribution.</t>
  </si>
  <si>
    <t>See line 21: Special Educaiton Funding.</t>
  </si>
  <si>
    <t>Special Education Funding</t>
  </si>
  <si>
    <t>Assumes $763 per pupil Title I allocation in Y1-Y2 and $694 per pupil in Y3 and beyond.</t>
  </si>
  <si>
    <t>Assumes $70 per pupil for Title I allocation.</t>
  </si>
  <si>
    <t>Assumes $0 in ELL allocations as the anticipated ELL population will not exceed 20 students.</t>
  </si>
  <si>
    <t>Assumes no student fees collected.</t>
  </si>
  <si>
    <t>Assumes annual parntership with back office provider @$40K per year plus $5K per year for auditor fees and 990 filing fees.</t>
  </si>
  <si>
    <t>Teacher Technology</t>
  </si>
  <si>
    <t>Assumes $500 per laptop with one for each new staff member with 3 replacements per year beginning in Y4;  Assumes purchases for Y1 staff are made in Y0.</t>
  </si>
  <si>
    <t>Assumes no Erate reimbursement for fiscal conservancy.</t>
  </si>
  <si>
    <t xml:space="preserve">Assumes 15% special education population based on local averages with projection of 75% of students in LRE 1, 20% in LRE 2, and 5% in LRE 3.  </t>
  </si>
  <si>
    <t xml:space="preserve">Assumes $920 per pupil based on FRL%. Assumes 80% FRL in Y1-Y2 and 75% FRL in Y3 and beyond. </t>
  </si>
  <si>
    <t>Assumes $325000 from the Walton Family Foundation through BES upon authorization to be allocated towards start-up expenses in Y0 and Y1 with $250K used in the incubation year and $75K in Y1. See letter of commitment in Appendix 1.5</t>
  </si>
  <si>
    <t>Assumes contingency of 2% of all revenue in Y1-Y5.</t>
  </si>
  <si>
    <t>Assumes $8 per square foot for 13,525 square feet in years 1 and 2,  20,801 square feet in years 3 and beyond based on the lease proposal for 1012 E 47th St property.</t>
  </si>
  <si>
    <t>Assumes $3 per square foot for 13,525 square feet in years 1 and 2, 20,801 square feet in years 3 and beyond based on the lease proposal for 1012 E 47th St property.</t>
  </si>
  <si>
    <t>Assumes $2.50 per square foot for 13,525 square feet in years 1 and 2, 20,801 square feet in years 3 and beyond based on the lease proposal for 1012 E 47th St property.</t>
  </si>
  <si>
    <t>Assumes $1.5 per square foot for custodial services for 13,525 square feet in years 1 and 2, 20,801 square feet in years 3 and beyond based on the lease proposal for 1012 E 47th St property and $15 per student for all custodial supplies</t>
  </si>
  <si>
    <t>Assumes $200 per FTE for all office supplies</t>
  </si>
  <si>
    <t>Assumes $250 per employee each year, $10,000 for BES Follow On Support in Y0-Y2,  and $6000 for NFTE training in Year 1</t>
  </si>
  <si>
    <t>Assumes no additional contribution to CTPF</t>
  </si>
  <si>
    <t>Assumes $500 per year for art supplies.</t>
  </si>
  <si>
    <t>Assumes $10 per student each year for incentives, rewards, and celebrations</t>
  </si>
  <si>
    <t>Assumes $10k per printer/copier to lease with one printer/copier</t>
  </si>
  <si>
    <t>Assumes 1 Chromebook for every 3 students @$200 per Chromebook with Y1 chromebooks purchased during incubation year and 6 replacement Chromebooks per year beginning in Y4. Assumes $900 per classrom for Elmo document cameras at $100 each; projectors at $750 each;  HDMI cables at $25 each; speakers at $25 with 6 new classrooms and one small classroom Y1, 3 new classrooms in Y2, and 3 in Y3. Also assumes $900 in subsequent years for replacement technology.</t>
  </si>
  <si>
    <t xml:space="preserve">Assumes $1,458 per pupil for the Facilities Supplement with 90 students in year 1, 135 in year 2, and 180 in years 3 and beyond. </t>
  </si>
  <si>
    <t>Assumes 90 students in Y1, 135 in Y2, and 180 in Y3 and beyond.</t>
  </si>
  <si>
    <t xml:space="preserve">Electives Teachers </t>
  </si>
  <si>
    <t>Office Manger</t>
  </si>
  <si>
    <t>Officer Manager</t>
  </si>
  <si>
    <t>Assumes 18 Saturday Academies per year each staffed by one teachers paid $100 per session @$1800 per year in Y1-Y2, and two teachers in Year 3 and beyond.</t>
  </si>
  <si>
    <t xml:space="preserve">Assumes $500 per new role with 6 new hires in the incubation year, 6 in Y1 and 5 in Y2. Assumes 3 vacancies due to staff attrition in Y3 and beyond. </t>
  </si>
  <si>
    <t xml:space="preserve">Assumes 1 teacher for every two grades @ $1500 stipend plus $250 for supplies and materials for every two grades, with up to 6 students per grade each year. </t>
  </si>
  <si>
    <t>Assumes $500 for a teacher desk, chair, storage drawers, and bookshelf in each new classroom with purchased for Y1 made during the incubation year, and includes furnishing a teacher work room @$2500 in Year 2</t>
  </si>
  <si>
    <t xml:space="preserve">Assumes $75 per student needed to enroll to cover fliers and promotional materials, advertisements including boosting social media posts, and hosting recruitment events. </t>
  </si>
  <si>
    <t xml:space="preserve">Assumes $100 per student for science, financial literacy, and social studies materials, $750 for classroom libraries per each new classroom with 6 new classroom in Y1, 3 new classrooms in Y2, and 3 new new classrooms in Y3, and $100 for classroom decor and signage annually for each classroom with 6 classrooms in Y1, 9 in Y2, and 12 in Y3. </t>
  </si>
  <si>
    <t xml:space="preserve">Assumes 1 Head of School and 1 Operations Associate in Y0. Assumes 1 Head of School, 0.5 Student Supports Coordinator, 1  Operations Associate, 0.5 Special Education Teacher, 5 Teachers, and 1 Teaching Fellow in Y1. Assumes moving to 1 Student Supports Coordinator, and 1 Special Education Teacher in Year 2 and adding 1 Assistant Head of School and 3 Teachers.  Assumes promotion of Operations Associate to Operations Manager in Y3, and adding 1 Dean of Students, 1 Office Manager 1 Special Education Teacher, 1 Electives Teacher, and 2 Teachers in Y3, with the elimination of the Teaching Fellow Role. In Y3 and beyond there are 19 FTE. </t>
  </si>
  <si>
    <t>Assumes costs of transportation for STLS are covered by CPS.</t>
  </si>
  <si>
    <t>Assumes $850 in incubation year and $3500 in Y1-Y2, and $7000 all other years based on quote for Scholastic First Insurance from  Arthur J. Gallagher &amp; Co.</t>
  </si>
  <si>
    <t>Assumes $1000 in incubation year, $5,000 Y1-Y2, and $10,000 in all other years based on quote for First Insurance through Arthur J. Gallagher &amp; Co.</t>
  </si>
  <si>
    <t>Assumes $900 in incubation year,  $3,800 in Y1-Y2, and $7600 in all other years based on quote for Scholastic First Insurance through Arthur J. Gallagher &amp; Co.</t>
  </si>
  <si>
    <t>Assumes $1900 in incubation year, $5,500 in Y1-Y2, and $11,000 in all other years based on quote for Scholastic First Insurance through Arthur J. Gallagher &amp; Co.</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</si>
</sst>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_(* #,##0.0000_);_(* \(#,##0.0000\);_(* &quot;-&quot;????_);_(@_)"/>
    <numFmt numFmtId="169" formatCode="0.0%"/>
    <numFmt numFmtId="170" formatCode="#,##0.0_);\(#,##0.0\)"/>
    <numFmt numFmtId="171" formatCode="&quot;$&quot;#,##0.0"/>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
    <numFmt numFmtId="179" formatCode="0_);\(0\)"/>
    <numFmt numFmtId="180" formatCode="&quot;$&quot;#,##0.0000"/>
    <numFmt numFmtId="181" formatCode="0.00_);\(0.00\)"/>
    <numFmt numFmtId="182" formatCode="&quot;$&quot;#,##0.000_);\(&quot;$&quot;#,##0.000\)"/>
  </numFmts>
  <fonts count="6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2"/>
      <name val="Verdana"/>
      <family val="2"/>
    </font>
    <font>
      <b/>
      <sz val="12"/>
      <name val="Verdana"/>
      <family val="2"/>
    </font>
    <font>
      <b/>
      <sz val="12"/>
      <name val="Cambria"/>
      <family val="1"/>
    </font>
    <font>
      <u val="single"/>
      <sz val="12"/>
      <name val="Cambria"/>
      <family val="1"/>
    </font>
    <font>
      <i/>
      <sz val="12"/>
      <name val="Cambria"/>
      <family val="1"/>
    </font>
    <font>
      <b/>
      <i/>
      <sz val="12"/>
      <name val="Cambria"/>
      <family val="1"/>
    </font>
    <font>
      <b/>
      <sz val="14"/>
      <name val="Cambria"/>
      <family val="1"/>
    </font>
    <font>
      <sz val="14"/>
      <name val="Cambria"/>
      <family val="1"/>
    </font>
    <font>
      <b/>
      <i/>
      <sz val="11"/>
      <name val="Arial"/>
      <family val="2"/>
    </font>
    <font>
      <b/>
      <u val="single"/>
      <sz val="11"/>
      <name val="Arial"/>
      <family val="2"/>
    </font>
    <font>
      <b/>
      <i/>
      <sz val="10"/>
      <name val="Arial"/>
      <family val="2"/>
    </font>
    <font>
      <i/>
      <sz val="11"/>
      <name val="Arial"/>
      <family val="2"/>
    </font>
    <font>
      <b/>
      <sz val="10"/>
      <name val="Calibri"/>
      <family val="2"/>
    </font>
    <font>
      <b/>
      <i/>
      <u val="single"/>
      <sz val="11"/>
      <name val="Arial"/>
      <family val="2"/>
    </font>
    <font>
      <b/>
      <i/>
      <sz val="12"/>
      <name val="Arial"/>
      <family val="2"/>
    </font>
    <font>
      <b/>
      <sz val="10"/>
      <name val="Verdana"/>
      <family val="2"/>
    </font>
    <font>
      <b/>
      <sz val="11"/>
      <name val="Cambria"/>
      <family val="1"/>
    </font>
    <font>
      <b/>
      <i/>
      <sz val="14"/>
      <name val="Arial"/>
      <family val="2"/>
    </font>
    <font>
      <i/>
      <sz val="10"/>
      <name val="Calibri"/>
      <family val="2"/>
    </font>
    <font>
      <b/>
      <sz val="11"/>
      <name val="Times New Roman"/>
      <family val="1"/>
    </font>
    <font>
      <sz val="11"/>
      <name val="Times New Roman"/>
      <family val="1"/>
    </font>
    <font>
      <sz val="11"/>
      <color indexed="8"/>
      <name val="Times New Roman"/>
      <family val="1"/>
    </font>
    <font>
      <b/>
      <sz val="11"/>
      <color indexed="8"/>
      <name val="Times New Roman"/>
      <family val="1"/>
    </font>
    <font>
      <b/>
      <u val="single"/>
      <sz val="11"/>
      <name val="Times New Roman"/>
      <family val="1"/>
    </font>
    <font>
      <b/>
      <i/>
      <u val="single"/>
      <sz val="12"/>
      <name val="Arial"/>
      <family val="2"/>
    </font>
    <font>
      <sz val="11"/>
      <color indexed="10"/>
      <name val="Arial"/>
      <family val="2"/>
    </font>
    <font>
      <sz val="9"/>
      <name val="Tahoma"/>
      <family val="2"/>
    </font>
    <font>
      <b/>
      <sz val="9"/>
      <name val="Tahoma"/>
      <family val="2"/>
    </font>
    <font>
      <u val="single"/>
      <sz val="10"/>
      <color indexed="20"/>
      <name val="Arial"/>
      <family val="2"/>
    </font>
    <font>
      <u val="single"/>
      <sz val="10"/>
      <color indexed="12"/>
      <name val="Arial"/>
      <family val="2"/>
    </font>
    <font>
      <b/>
      <sz val="12"/>
      <color indexed="8"/>
      <name val="Calibri"/>
      <family val="2"/>
    </font>
    <font>
      <u val="single"/>
      <sz val="10"/>
      <color theme="11"/>
      <name val="Arial"/>
      <family val="2"/>
    </font>
    <font>
      <u val="single"/>
      <sz val="10"/>
      <color theme="10"/>
      <name val="Arial"/>
      <family val="2"/>
    </font>
    <font>
      <sz val="11"/>
      <color theme="1"/>
      <name val="Calibri"/>
      <family val="2"/>
    </font>
    <font>
      <b/>
      <sz val="11"/>
      <color theme="1"/>
      <name val="Calibri"/>
      <family val="2"/>
    </font>
    <font>
      <b/>
      <sz val="12"/>
      <color theme="1"/>
      <name val="Calibri"/>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6" tint="0.5999900102615356"/>
        <bgColor indexed="64"/>
      </patternFill>
    </fill>
    <fill>
      <patternFill patternType="solid">
        <fgColor theme="0"/>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6" tint="0.39998000860214233"/>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5" tint="0.7999799847602844"/>
        <bgColor indexed="64"/>
      </patternFill>
    </fill>
    <fill>
      <patternFill patternType="solid">
        <fgColor theme="5" tint="0.39998000860214233"/>
        <bgColor indexed="64"/>
      </patternFill>
    </fill>
    <fill>
      <patternFill patternType="solid">
        <fgColor rgb="FFFFFF00"/>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thin"/>
      <right style="thin"/>
      <top style="thin"/>
      <bottom>
        <color indexed="63"/>
      </bottom>
    </border>
    <border>
      <left style="medium"/>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style="thin"/>
      <right style="thin"/>
      <top/>
      <bottom style="thin"/>
    </border>
    <border>
      <left style="medium"/>
      <right style="medium"/>
      <top style="thin"/>
      <bottom>
        <color indexed="63"/>
      </bottom>
    </border>
    <border>
      <left style="medium"/>
      <right/>
      <top style="medium"/>
      <bottom style="medium"/>
    </border>
    <border>
      <left style="medium"/>
      <right style="medium"/>
      <top style="thin"/>
      <bottom style="thin"/>
    </border>
    <border>
      <left>
        <color indexed="63"/>
      </left>
      <right style="medium"/>
      <top style="medium"/>
      <bottom>
        <color indexed="63"/>
      </bottom>
    </border>
    <border>
      <left/>
      <right style="medium"/>
      <top style="medium"/>
      <bottom style="medium"/>
    </border>
    <border>
      <left>
        <color indexed="63"/>
      </left>
      <right style="medium"/>
      <top>
        <color indexed="63"/>
      </top>
      <bottom style="medium"/>
    </border>
    <border>
      <left style="medium"/>
      <right style="medium"/>
      <top>
        <color indexed="63"/>
      </top>
      <bottom style="thin"/>
    </border>
    <border>
      <left style="thin"/>
      <right style="thin"/>
      <top>
        <color indexed="63"/>
      </top>
      <bottom>
        <color indexed="63"/>
      </bottom>
    </border>
    <border>
      <left/>
      <right/>
      <top style="medium"/>
      <bottom style="medium"/>
    </border>
    <border>
      <left style="thin"/>
      <right/>
      <top/>
      <bottom/>
    </border>
    <border>
      <left/>
      <right style="thin"/>
      <top/>
      <bottom/>
    </border>
    <border>
      <left style="thin"/>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right/>
      <top/>
      <bottom style="medium"/>
    </border>
    <border>
      <left/>
      <right/>
      <top/>
      <bottom style="thin"/>
    </border>
    <border>
      <left style="thin"/>
      <right/>
      <top style="thin"/>
      <bottom style="thin"/>
    </border>
    <border>
      <left style="thin"/>
      <right/>
      <top style="thin"/>
      <bottom/>
    </border>
    <border>
      <left>
        <color indexed="63"/>
      </left>
      <right style="thin"/>
      <top style="medium"/>
      <bottom style="medium"/>
    </border>
    <border>
      <left/>
      <right style="thin"/>
      <top style="thin"/>
      <bottom style="thin"/>
    </border>
    <border>
      <left style="medium"/>
      <right>
        <color indexed="63"/>
      </right>
      <top>
        <color indexed="63"/>
      </top>
      <bottom>
        <color indexed="63"/>
      </bottom>
    </border>
    <border>
      <left>
        <color indexed="63"/>
      </left>
      <right>
        <color indexed="63"/>
      </right>
      <top style="thin"/>
      <bottom style="medium"/>
    </border>
    <border>
      <left style="thin"/>
      <right style="thin"/>
      <top style="thin"/>
      <bottom style="medium"/>
    </border>
    <border>
      <left style="medium"/>
      <right style="thin"/>
      <top/>
      <bottom style="thin"/>
    </border>
    <border>
      <left style="medium"/>
      <right style="thin"/>
      <top style="thin"/>
      <bottom style="thin"/>
    </border>
    <border>
      <left style="thin"/>
      <right style="medium"/>
      <top style="thin"/>
      <bottom>
        <color indexed="63"/>
      </bottom>
    </border>
    <border>
      <left style="medium"/>
      <right style="thin"/>
      <top style="thin"/>
      <bottom style="medium"/>
    </border>
    <border>
      <left style="thin"/>
      <right>
        <color indexed="63"/>
      </right>
      <top style="thin"/>
      <bottom style="medium"/>
    </border>
    <border>
      <left style="medium"/>
      <right style="medium"/>
      <top style="medium"/>
      <bottom style="thin"/>
    </border>
    <border>
      <left style="thin"/>
      <right style="medium"/>
      <top style="thin"/>
      <bottom style="thin"/>
    </border>
    <border>
      <left style="thin"/>
      <right style="medium"/>
      <top style="thin"/>
      <bottom style="medium"/>
    </border>
    <border>
      <left style="double"/>
      <right style="double"/>
      <top style="double"/>
      <bottom>
        <color indexed="63"/>
      </bottom>
    </border>
    <border>
      <left style="double"/>
      <right style="double"/>
      <top>
        <color indexed="63"/>
      </top>
      <bottom style="double"/>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2"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63"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64" fillId="0" borderId="0">
      <alignment/>
      <protection/>
    </xf>
    <xf numFmtId="0" fontId="64" fillId="0" borderId="0">
      <alignment/>
      <protection/>
    </xf>
    <xf numFmtId="0" fontId="64" fillId="0" borderId="0">
      <alignment/>
      <protection/>
    </xf>
    <xf numFmtId="0" fontId="64" fillId="0" borderId="0">
      <alignment/>
      <protection/>
    </xf>
    <xf numFmtId="0" fontId="6" fillId="0" borderId="0">
      <alignment/>
      <protection/>
    </xf>
    <xf numFmtId="0" fontId="6"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729">
    <xf numFmtId="0" fontId="0" fillId="0" borderId="0" xfId="0" applyAlignment="1">
      <alignment/>
    </xf>
    <xf numFmtId="0" fontId="22" fillId="0" borderId="0" xfId="0" applyFont="1" applyAlignment="1">
      <alignment/>
    </xf>
    <xf numFmtId="0" fontId="24" fillId="0" borderId="0" xfId="0" applyFont="1" applyAlignment="1">
      <alignment/>
    </xf>
    <xf numFmtId="0" fontId="22" fillId="0" borderId="0" xfId="0" applyFont="1" applyBorder="1" applyAlignment="1">
      <alignment/>
    </xf>
    <xf numFmtId="0" fontId="0" fillId="0" borderId="0" xfId="0" applyAlignment="1" applyProtection="1">
      <alignment/>
      <protection locked="0"/>
    </xf>
    <xf numFmtId="0" fontId="27" fillId="0" borderId="0" xfId="0" applyFont="1" applyAlignment="1">
      <alignment horizontal="center"/>
    </xf>
    <xf numFmtId="0" fontId="27" fillId="0" borderId="0" xfId="0" applyFont="1" applyBorder="1" applyAlignment="1">
      <alignment/>
    </xf>
    <xf numFmtId="0" fontId="27" fillId="0" borderId="0" xfId="0" applyFont="1" applyAlignment="1">
      <alignment/>
    </xf>
    <xf numFmtId="0" fontId="25" fillId="0" borderId="0" xfId="0" applyFont="1" applyAlignment="1">
      <alignment/>
    </xf>
    <xf numFmtId="0" fontId="32" fillId="0" borderId="0" xfId="0" applyNumberFormat="1" applyFont="1" applyFill="1" applyBorder="1" applyAlignment="1" applyProtection="1">
      <alignment horizontal="left" indent="2"/>
      <protection locked="0"/>
    </xf>
    <xf numFmtId="14" fontId="31" fillId="0" borderId="0" xfId="0" applyNumberFormat="1" applyFont="1" applyFill="1" applyBorder="1" applyAlignment="1">
      <alignment horizontal="left" indent="2"/>
    </xf>
    <xf numFmtId="14" fontId="31" fillId="0" borderId="0" xfId="0" applyNumberFormat="1" applyFont="1" applyFill="1" applyBorder="1" applyAlignment="1" applyProtection="1">
      <alignment horizontal="left" indent="2"/>
      <protection locked="0"/>
    </xf>
    <xf numFmtId="0" fontId="25" fillId="0" borderId="0" xfId="0" applyFont="1" applyAlignment="1" applyProtection="1">
      <alignment/>
      <protection locked="0"/>
    </xf>
    <xf numFmtId="0" fontId="29" fillId="0" borderId="0" xfId="0" applyFont="1" applyAlignment="1" applyProtection="1">
      <alignment/>
      <protection locked="0"/>
    </xf>
    <xf numFmtId="0" fontId="30" fillId="0" borderId="0" xfId="0" applyFont="1" applyAlignment="1">
      <alignment horizontal="left" indent="1"/>
    </xf>
    <xf numFmtId="165" fontId="30" fillId="0" borderId="10" xfId="0" applyNumberFormat="1" applyFont="1" applyBorder="1" applyAlignment="1" applyProtection="1">
      <alignment horizontal="right"/>
      <protection locked="0"/>
    </xf>
    <xf numFmtId="165" fontId="30" fillId="0" borderId="0" xfId="0" applyNumberFormat="1" applyFont="1" applyAlignment="1">
      <alignment horizontal="left" indent="1"/>
    </xf>
    <xf numFmtId="0" fontId="30" fillId="0" borderId="0" xfId="0" applyFont="1" applyAlignment="1" applyProtection="1">
      <alignment horizontal="left" indent="1"/>
      <protection locked="0"/>
    </xf>
    <xf numFmtId="165" fontId="30" fillId="0" borderId="0" xfId="0" applyNumberFormat="1" applyFont="1" applyAlignment="1" applyProtection="1">
      <alignment horizontal="left" indent="1"/>
      <protection locked="0"/>
    </xf>
    <xf numFmtId="165" fontId="33" fillId="0" borderId="0" xfId="0" applyNumberFormat="1" applyFont="1" applyAlignment="1">
      <alignment horizontal="left" indent="1"/>
    </xf>
    <xf numFmtId="0" fontId="33" fillId="0" borderId="0" xfId="0" applyFont="1" applyAlignment="1" applyProtection="1">
      <alignment/>
      <protection locked="0"/>
    </xf>
    <xf numFmtId="165" fontId="33" fillId="0" borderId="0" xfId="61" applyNumberFormat="1" applyFont="1" applyAlignment="1">
      <alignment horizontal="left" indent="1"/>
      <protection/>
    </xf>
    <xf numFmtId="0" fontId="35" fillId="0" borderId="0" xfId="61" applyFont="1" applyAlignment="1">
      <alignment horizontal="left" indent="2"/>
      <protection/>
    </xf>
    <xf numFmtId="165" fontId="35" fillId="0" borderId="0" xfId="61" applyNumberFormat="1" applyFont="1" applyAlignment="1">
      <alignment horizontal="left" indent="2"/>
      <protection/>
    </xf>
    <xf numFmtId="0" fontId="35" fillId="0" borderId="0" xfId="61" applyFont="1" applyAlignment="1" applyProtection="1">
      <alignment horizontal="left" indent="2"/>
      <protection locked="0"/>
    </xf>
    <xf numFmtId="165" fontId="35" fillId="0" borderId="0" xfId="61" applyNumberFormat="1" applyFont="1" applyAlignment="1" applyProtection="1">
      <alignment horizontal="left" indent="2"/>
      <protection locked="0"/>
    </xf>
    <xf numFmtId="0" fontId="30" fillId="0" borderId="0" xfId="61" applyFont="1" applyAlignment="1" applyProtection="1">
      <alignment horizontal="left" indent="1"/>
      <protection locked="0"/>
    </xf>
    <xf numFmtId="165" fontId="30" fillId="0" borderId="0" xfId="61" applyNumberFormat="1" applyFont="1" applyAlignment="1" applyProtection="1">
      <alignment horizontal="left" indent="1"/>
      <protection locked="0"/>
    </xf>
    <xf numFmtId="165" fontId="30" fillId="0" borderId="0" xfId="61" applyNumberFormat="1" applyFont="1" applyAlignment="1" applyProtection="1">
      <alignment horizontal="left" indent="2"/>
      <protection locked="0"/>
    </xf>
    <xf numFmtId="0" fontId="33" fillId="0" borderId="0" xfId="61" applyFont="1" applyAlignment="1" applyProtection="1">
      <alignment horizontal="left" indent="1"/>
      <protection locked="0"/>
    </xf>
    <xf numFmtId="165" fontId="33" fillId="0" borderId="0" xfId="61" applyNumberFormat="1" applyFont="1" applyAlignment="1" applyProtection="1">
      <alignment horizontal="left" indent="1"/>
      <protection locked="0"/>
    </xf>
    <xf numFmtId="165" fontId="30" fillId="0" borderId="0" xfId="0" applyNumberFormat="1" applyFont="1" applyBorder="1" applyAlignment="1" applyProtection="1">
      <alignment/>
      <protection locked="0"/>
    </xf>
    <xf numFmtId="0" fontId="30" fillId="0" borderId="0" xfId="61" applyFont="1" applyBorder="1" applyAlignment="1" applyProtection="1">
      <alignment horizontal="left" indent="1"/>
      <protection locked="0"/>
    </xf>
    <xf numFmtId="165" fontId="30" fillId="0" borderId="0" xfId="61" applyNumberFormat="1" applyFont="1" applyBorder="1" applyAlignment="1" applyProtection="1">
      <alignment horizontal="left" indent="1"/>
      <protection locked="0"/>
    </xf>
    <xf numFmtId="0" fontId="30" fillId="0" borderId="0" xfId="0" applyFont="1" applyBorder="1" applyAlignment="1" applyProtection="1">
      <alignment horizontal="left" indent="1"/>
      <protection locked="0"/>
    </xf>
    <xf numFmtId="165" fontId="30" fillId="0" borderId="0" xfId="0" applyNumberFormat="1" applyFont="1" applyBorder="1" applyAlignment="1" applyProtection="1">
      <alignment horizontal="left" indent="1"/>
      <protection locked="0"/>
    </xf>
    <xf numFmtId="165" fontId="33" fillId="0" borderId="0" xfId="0" applyNumberFormat="1" applyFont="1" applyBorder="1" applyAlignment="1">
      <alignment horizontal="left" indent="1"/>
    </xf>
    <xf numFmtId="165" fontId="33" fillId="0" borderId="0" xfId="0" applyNumberFormat="1" applyFont="1" applyAlignment="1" applyProtection="1">
      <alignment/>
      <protection locked="0"/>
    </xf>
    <xf numFmtId="0" fontId="33" fillId="0" borderId="0" xfId="0" applyFont="1" applyAlignment="1" applyProtection="1">
      <alignment/>
      <protection/>
    </xf>
    <xf numFmtId="165" fontId="33" fillId="0" borderId="0" xfId="0" applyNumberFormat="1" applyFont="1" applyAlignment="1" applyProtection="1">
      <alignment/>
      <protection/>
    </xf>
    <xf numFmtId="165" fontId="30" fillId="0" borderId="0" xfId="0" applyNumberFormat="1" applyFont="1" applyAlignment="1" applyProtection="1">
      <alignment/>
      <protection/>
    </xf>
    <xf numFmtId="0" fontId="38" fillId="0" borderId="0" xfId="0" applyFont="1" applyAlignment="1">
      <alignment/>
    </xf>
    <xf numFmtId="2" fontId="20" fillId="0" borderId="0" xfId="0" applyNumberFormat="1" applyFont="1" applyAlignment="1" applyProtection="1">
      <alignment/>
      <protection/>
    </xf>
    <xf numFmtId="0" fontId="21" fillId="0" borderId="0" xfId="0" applyFont="1" applyFill="1" applyAlignment="1" applyProtection="1">
      <alignment/>
      <protection locked="0"/>
    </xf>
    <xf numFmtId="0" fontId="0" fillId="0" borderId="0" xfId="0" applyFill="1" applyAlignment="1" applyProtection="1">
      <alignment/>
      <protection locked="0"/>
    </xf>
    <xf numFmtId="0" fontId="27" fillId="0" borderId="0" xfId="0" applyFont="1" applyFill="1" applyAlignment="1" applyProtection="1">
      <alignment/>
      <protection locked="0"/>
    </xf>
    <xf numFmtId="0" fontId="0" fillId="0" borderId="0" xfId="0" applyFill="1" applyBorder="1" applyAlignment="1" applyProtection="1">
      <alignment/>
      <protection locked="0"/>
    </xf>
    <xf numFmtId="0" fontId="27" fillId="0" borderId="11" xfId="0" applyFont="1" applyBorder="1" applyAlignment="1">
      <alignment horizontal="center"/>
    </xf>
    <xf numFmtId="0" fontId="27" fillId="0" borderId="0" xfId="0" applyFont="1" applyBorder="1" applyAlignment="1">
      <alignment horizontal="center"/>
    </xf>
    <xf numFmtId="0" fontId="21" fillId="24" borderId="0" xfId="0" applyFont="1" applyFill="1" applyAlignment="1" applyProtection="1">
      <alignment horizontal="left"/>
      <protection/>
    </xf>
    <xf numFmtId="0" fontId="21" fillId="24" borderId="0" xfId="0" applyFont="1" applyFill="1" applyAlignment="1" applyProtection="1">
      <alignment/>
      <protection/>
    </xf>
    <xf numFmtId="0" fontId="0" fillId="0" borderId="0" xfId="0" applyBorder="1" applyAlignment="1">
      <alignment wrapText="1"/>
    </xf>
    <xf numFmtId="0" fontId="0" fillId="0" borderId="0" xfId="0" applyBorder="1" applyAlignment="1">
      <alignment/>
    </xf>
    <xf numFmtId="0" fontId="22" fillId="0" borderId="11" xfId="0" applyFont="1" applyBorder="1" applyAlignment="1">
      <alignment wrapText="1"/>
    </xf>
    <xf numFmtId="0" fontId="22" fillId="0" borderId="0" xfId="0" applyFont="1" applyBorder="1" applyAlignment="1">
      <alignment wrapText="1"/>
    </xf>
    <xf numFmtId="0" fontId="0" fillId="20" borderId="0" xfId="0" applyFill="1" applyBorder="1" applyAlignment="1" applyProtection="1">
      <alignment horizontal="center" wrapText="1"/>
      <protection/>
    </xf>
    <xf numFmtId="0" fontId="27" fillId="0" borderId="12" xfId="0" applyFont="1" applyBorder="1" applyAlignment="1">
      <alignment horizontal="center"/>
    </xf>
    <xf numFmtId="0" fontId="0" fillId="0" borderId="0" xfId="0" applyBorder="1" applyAlignment="1" applyProtection="1">
      <alignment/>
      <protection locked="0"/>
    </xf>
    <xf numFmtId="0" fontId="0" fillId="0" borderId="0" xfId="0" applyFont="1" applyAlignment="1" applyProtection="1">
      <alignment/>
      <protection locked="0"/>
    </xf>
    <xf numFmtId="0" fontId="27" fillId="25" borderId="11" xfId="0" applyFont="1" applyFill="1" applyBorder="1" applyAlignment="1">
      <alignment horizontal="center"/>
    </xf>
    <xf numFmtId="0" fontId="21" fillId="25" borderId="11" xfId="0" applyFont="1" applyFill="1" applyBorder="1" applyAlignment="1">
      <alignment horizontal="center" wrapText="1"/>
    </xf>
    <xf numFmtId="0" fontId="21" fillId="25" borderId="11" xfId="0" applyFont="1" applyFill="1" applyBorder="1" applyAlignment="1">
      <alignment horizontal="center"/>
    </xf>
    <xf numFmtId="43" fontId="0" fillId="26" borderId="10" xfId="42" applyFont="1" applyFill="1" applyBorder="1" applyAlignment="1" applyProtection="1">
      <alignment/>
      <protection locked="0"/>
    </xf>
    <xf numFmtId="0" fontId="0" fillId="26" borderId="0" xfId="0" applyFill="1" applyAlignment="1" applyProtection="1">
      <alignment/>
      <protection locked="0"/>
    </xf>
    <xf numFmtId="43" fontId="0" fillId="26" borderId="13" xfId="42" applyFont="1" applyFill="1" applyBorder="1" applyAlignment="1" applyProtection="1">
      <alignment/>
      <protection locked="0"/>
    </xf>
    <xf numFmtId="0" fontId="30" fillId="0" borderId="10" xfId="0" applyFont="1" applyBorder="1" applyAlignment="1" applyProtection="1">
      <alignment horizontal="left" vertical="top" indent="1"/>
      <protection locked="0"/>
    </xf>
    <xf numFmtId="0" fontId="0" fillId="26" borderId="0" xfId="0" applyFill="1" applyBorder="1" applyAlignment="1">
      <alignment/>
    </xf>
    <xf numFmtId="0" fontId="27" fillId="26" borderId="14" xfId="0" applyFont="1" applyFill="1" applyBorder="1" applyAlignment="1">
      <alignment horizontal="center"/>
    </xf>
    <xf numFmtId="0" fontId="27" fillId="0" borderId="15" xfId="0" applyFont="1" applyBorder="1" applyAlignment="1">
      <alignment horizontal="center"/>
    </xf>
    <xf numFmtId="0" fontId="0" fillId="0" borderId="0" xfId="0" applyBorder="1" applyAlignment="1" applyProtection="1">
      <alignment/>
      <protection/>
    </xf>
    <xf numFmtId="0" fontId="30" fillId="0" borderId="10" xfId="61" applyFont="1" applyBorder="1" applyAlignment="1" applyProtection="1">
      <alignment horizontal="left" vertical="top"/>
      <protection locked="0"/>
    </xf>
    <xf numFmtId="0" fontId="22" fillId="0" borderId="15" xfId="0" applyFont="1" applyBorder="1" applyAlignment="1">
      <alignment wrapText="1"/>
    </xf>
    <xf numFmtId="0" fontId="27" fillId="0" borderId="16" xfId="0" applyFont="1" applyBorder="1" applyAlignment="1">
      <alignment horizontal="center"/>
    </xf>
    <xf numFmtId="0" fontId="26" fillId="0" borderId="12" xfId="0" applyFont="1" applyBorder="1" applyAlignment="1">
      <alignment wrapText="1"/>
    </xf>
    <xf numFmtId="0" fontId="22" fillId="0" borderId="16" xfId="0" applyFont="1" applyBorder="1" applyAlignment="1">
      <alignment wrapText="1"/>
    </xf>
    <xf numFmtId="0" fontId="21" fillId="25" borderId="11" xfId="0" applyFont="1" applyFill="1" applyBorder="1" applyAlignment="1" quotePrefix="1">
      <alignment horizontal="center" wrapText="1"/>
    </xf>
    <xf numFmtId="0" fontId="30" fillId="0" borderId="10" xfId="61" applyFont="1" applyBorder="1" applyAlignment="1" applyProtection="1">
      <alignment horizontal="left" indent="2"/>
      <protection locked="0"/>
    </xf>
    <xf numFmtId="165" fontId="30" fillId="0" borderId="0" xfId="0" applyNumberFormat="1" applyFont="1" applyAlignment="1">
      <alignment horizontal="left" wrapText="1" indent="1"/>
    </xf>
    <xf numFmtId="0" fontId="33" fillId="27" borderId="11" xfId="61" applyFont="1" applyFill="1" applyBorder="1" applyAlignment="1">
      <alignment horizontal="left" indent="1"/>
      <protection/>
    </xf>
    <xf numFmtId="2" fontId="20" fillId="27" borderId="11" xfId="0" applyNumberFormat="1" applyFont="1" applyFill="1" applyBorder="1" applyAlignment="1" applyProtection="1">
      <alignment/>
      <protection/>
    </xf>
    <xf numFmtId="0" fontId="37" fillId="0" borderId="0" xfId="0" applyFont="1" applyAlignment="1" applyProtection="1">
      <alignment/>
      <protection/>
    </xf>
    <xf numFmtId="0" fontId="33" fillId="27" borderId="11" xfId="0" applyFont="1" applyFill="1" applyBorder="1" applyAlignment="1">
      <alignment horizontal="left" indent="1"/>
    </xf>
    <xf numFmtId="165" fontId="33" fillId="0" borderId="0" xfId="0" applyNumberFormat="1" applyFont="1" applyAlignment="1" applyProtection="1">
      <alignment horizontal="center"/>
      <protection/>
    </xf>
    <xf numFmtId="0" fontId="27" fillId="26" borderId="0" xfId="0" applyFont="1" applyFill="1" applyBorder="1" applyAlignment="1">
      <alignment/>
    </xf>
    <xf numFmtId="165" fontId="30" fillId="28" borderId="10" xfId="0" applyNumberFormat="1" applyFont="1" applyFill="1" applyBorder="1" applyAlignment="1" applyProtection="1">
      <alignment/>
      <protection/>
    </xf>
    <xf numFmtId="14" fontId="31" fillId="26" borderId="0" xfId="0" applyNumberFormat="1" applyFont="1" applyFill="1" applyBorder="1" applyAlignment="1">
      <alignment horizontal="left" indent="2"/>
    </xf>
    <xf numFmtId="14" fontId="31" fillId="26" borderId="0" xfId="0" applyNumberFormat="1" applyFont="1" applyFill="1" applyBorder="1" applyAlignment="1" applyProtection="1">
      <alignment horizontal="left" indent="2"/>
      <protection locked="0"/>
    </xf>
    <xf numFmtId="0" fontId="38" fillId="26" borderId="0" xfId="0" applyFont="1" applyFill="1" applyAlignment="1">
      <alignment horizontal="center"/>
    </xf>
    <xf numFmtId="0" fontId="0" fillId="26" borderId="0" xfId="0" applyFill="1" applyAlignment="1">
      <alignment/>
    </xf>
    <xf numFmtId="0" fontId="25" fillId="26" borderId="0" xfId="0" applyFont="1" applyFill="1" applyAlignment="1">
      <alignment/>
    </xf>
    <xf numFmtId="0" fontId="25" fillId="26" borderId="0" xfId="0" applyFont="1" applyFill="1" applyAlignment="1" applyProtection="1">
      <alignment/>
      <protection locked="0"/>
    </xf>
    <xf numFmtId="0" fontId="38" fillId="26" borderId="0" xfId="0" applyFont="1" applyFill="1" applyAlignment="1">
      <alignment/>
    </xf>
    <xf numFmtId="165" fontId="35" fillId="0" borderId="11" xfId="61" applyNumberFormat="1" applyFont="1" applyBorder="1" applyAlignment="1" applyProtection="1">
      <alignment horizontal="center"/>
      <protection locked="0"/>
    </xf>
    <xf numFmtId="165" fontId="30" fillId="0" borderId="17" xfId="0" applyNumberFormat="1" applyFont="1" applyBorder="1" applyAlignment="1" applyProtection="1">
      <alignment horizontal="left" wrapText="1" indent="1"/>
      <protection locked="0"/>
    </xf>
    <xf numFmtId="165" fontId="30" fillId="0" borderId="10" xfId="0" applyNumberFormat="1" applyFont="1" applyBorder="1" applyAlignment="1" applyProtection="1">
      <alignment horizontal="left" wrapText="1" indent="1"/>
      <protection locked="0"/>
    </xf>
    <xf numFmtId="169" fontId="35" fillId="0" borderId="11" xfId="61" applyNumberFormat="1" applyFont="1" applyBorder="1" applyAlignment="1" applyProtection="1">
      <alignment horizontal="center"/>
      <protection locked="0"/>
    </xf>
    <xf numFmtId="165" fontId="33" fillId="0" borderId="0" xfId="0" applyNumberFormat="1" applyFont="1" applyAlignment="1" applyProtection="1">
      <alignment horizontal="left"/>
      <protection/>
    </xf>
    <xf numFmtId="165" fontId="33" fillId="26" borderId="0" xfId="0" applyNumberFormat="1" applyFont="1" applyFill="1" applyAlignment="1" applyProtection="1">
      <alignment horizontal="right"/>
      <protection/>
    </xf>
    <xf numFmtId="165" fontId="33" fillId="0" borderId="0" xfId="61" applyNumberFormat="1" applyFont="1" applyAlignment="1" applyProtection="1">
      <alignment horizontal="left"/>
      <protection/>
    </xf>
    <xf numFmtId="165" fontId="33" fillId="26" borderId="0" xfId="61" applyNumberFormat="1" applyFont="1" applyFill="1" applyAlignment="1" applyProtection="1">
      <alignment horizontal="right"/>
      <protection/>
    </xf>
    <xf numFmtId="0" fontId="37" fillId="27" borderId="15" xfId="0" applyFont="1" applyFill="1" applyBorder="1" applyAlignment="1">
      <alignment horizontal="center"/>
    </xf>
    <xf numFmtId="165" fontId="30" fillId="28" borderId="10" xfId="0" applyNumberFormat="1" applyFont="1" applyFill="1" applyBorder="1" applyAlignment="1" applyProtection="1">
      <alignment horizontal="right"/>
      <protection/>
    </xf>
    <xf numFmtId="0" fontId="30" fillId="0" borderId="18" xfId="61" applyFont="1" applyBorder="1" applyAlignment="1" applyProtection="1">
      <alignment horizontal="left" vertical="top"/>
      <protection locked="0"/>
    </xf>
    <xf numFmtId="0" fontId="33" fillId="27" borderId="11" xfId="61" applyFont="1" applyFill="1" applyBorder="1" applyAlignment="1" applyProtection="1">
      <alignment horizontal="left" indent="1"/>
      <protection/>
    </xf>
    <xf numFmtId="165" fontId="30" fillId="0" borderId="0" xfId="0" applyNumberFormat="1" applyFont="1" applyBorder="1" applyAlignment="1">
      <alignment/>
    </xf>
    <xf numFmtId="165" fontId="30" fillId="0" borderId="0" xfId="0" applyNumberFormat="1" applyFont="1" applyBorder="1" applyAlignment="1">
      <alignment horizontal="left" wrapText="1" indent="1"/>
    </xf>
    <xf numFmtId="165" fontId="33" fillId="27" borderId="11" xfId="0" applyNumberFormat="1" applyFont="1" applyFill="1" applyBorder="1" applyAlignment="1">
      <alignment wrapText="1"/>
    </xf>
    <xf numFmtId="165" fontId="33" fillId="27" borderId="11" xfId="0" applyNumberFormat="1" applyFont="1" applyFill="1" applyBorder="1" applyAlignment="1" quotePrefix="1">
      <alignment wrapText="1"/>
    </xf>
    <xf numFmtId="0" fontId="33" fillId="0" borderId="0" xfId="0" applyFont="1" applyBorder="1" applyAlignment="1" applyProtection="1">
      <alignment/>
      <protection/>
    </xf>
    <xf numFmtId="0" fontId="33" fillId="27" borderId="11" xfId="0" applyFont="1" applyFill="1" applyBorder="1" applyAlignment="1" applyProtection="1">
      <alignment/>
      <protection/>
    </xf>
    <xf numFmtId="0" fontId="21" fillId="27" borderId="11" xfId="0" applyFont="1" applyFill="1" applyBorder="1" applyAlignment="1">
      <alignment/>
    </xf>
    <xf numFmtId="0" fontId="0" fillId="28" borderId="17" xfId="0" applyFont="1" applyFill="1" applyBorder="1" applyAlignment="1" applyProtection="1">
      <alignment/>
      <protection/>
    </xf>
    <xf numFmtId="0" fontId="0" fillId="28" borderId="10" xfId="0" applyFont="1" applyFill="1" applyBorder="1" applyAlignment="1" applyProtection="1">
      <alignment/>
      <protection/>
    </xf>
    <xf numFmtId="0" fontId="27" fillId="27" borderId="11" xfId="0" applyFont="1" applyFill="1" applyBorder="1" applyAlignment="1" applyProtection="1">
      <alignment horizontal="center" wrapText="1"/>
      <protection/>
    </xf>
    <xf numFmtId="0" fontId="0" fillId="0" borderId="11" xfId="0" applyFont="1" applyBorder="1" applyAlignment="1" applyProtection="1">
      <alignment horizontal="center"/>
      <protection/>
    </xf>
    <xf numFmtId="5" fontId="35" fillId="0" borderId="11" xfId="61" applyNumberFormat="1" applyFont="1" applyBorder="1" applyAlignment="1" applyProtection="1">
      <alignment horizontal="center"/>
      <protection locked="0"/>
    </xf>
    <xf numFmtId="5" fontId="35" fillId="0" borderId="19" xfId="61" applyNumberFormat="1" applyFont="1" applyBorder="1" applyAlignment="1" applyProtection="1">
      <alignment horizontal="center"/>
      <protection locked="0"/>
    </xf>
    <xf numFmtId="0" fontId="27" fillId="27" borderId="11" xfId="0" applyFont="1" applyFill="1" applyBorder="1" applyAlignment="1" applyProtection="1">
      <alignment horizontal="center"/>
      <protection/>
    </xf>
    <xf numFmtId="165" fontId="33" fillId="27" borderId="11" xfId="0" applyNumberFormat="1" applyFont="1" applyFill="1" applyBorder="1" applyAlignment="1" applyProtection="1">
      <alignment vertical="top"/>
      <protection/>
    </xf>
    <xf numFmtId="0" fontId="30" fillId="28" borderId="17"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indent="1"/>
      <protection/>
    </xf>
    <xf numFmtId="0" fontId="30" fillId="28" borderId="20" xfId="61" applyFont="1" applyFill="1" applyBorder="1" applyAlignment="1" applyProtection="1">
      <alignment horizontal="left" vertical="top"/>
      <protection/>
    </xf>
    <xf numFmtId="0" fontId="30" fillId="28" borderId="16" xfId="61" applyFont="1" applyFill="1" applyBorder="1" applyAlignment="1" applyProtection="1">
      <alignment horizontal="left" vertical="top"/>
      <protection/>
    </xf>
    <xf numFmtId="0" fontId="22" fillId="0" borderId="12" xfId="0" applyFont="1" applyBorder="1" applyAlignment="1">
      <alignment wrapText="1"/>
    </xf>
    <xf numFmtId="0" fontId="22" fillId="0" borderId="12" xfId="0" applyFont="1" applyBorder="1" applyAlignment="1">
      <alignment vertical="top" wrapText="1"/>
    </xf>
    <xf numFmtId="0" fontId="22" fillId="0" borderId="11" xfId="0" applyFont="1" applyBorder="1" applyAlignment="1">
      <alignment vertical="top" wrapText="1"/>
    </xf>
    <xf numFmtId="0" fontId="21" fillId="25" borderId="12" xfId="0" applyFont="1" applyFill="1" applyBorder="1" applyAlignment="1">
      <alignment horizontal="center" wrapText="1"/>
    </xf>
    <xf numFmtId="0" fontId="22" fillId="0" borderId="11" xfId="0" applyFont="1" applyBorder="1" applyAlignment="1">
      <alignment horizontal="left" vertical="top" wrapText="1"/>
    </xf>
    <xf numFmtId="0" fontId="22" fillId="0" borderId="15" xfId="0" applyFont="1" applyBorder="1" applyAlignment="1">
      <alignment vertical="top" wrapText="1"/>
    </xf>
    <xf numFmtId="0" fontId="22" fillId="0" borderId="21" xfId="0" applyFont="1" applyBorder="1" applyAlignment="1">
      <alignment vertical="top" wrapText="1"/>
    </xf>
    <xf numFmtId="165" fontId="33" fillId="28" borderId="11" xfId="0" applyNumberFormat="1" applyFont="1" applyFill="1" applyBorder="1" applyAlignment="1" applyProtection="1">
      <alignment horizontal="right"/>
      <protection/>
    </xf>
    <xf numFmtId="165" fontId="33" fillId="28" borderId="11" xfId="0" applyNumberFormat="1" applyFont="1" applyFill="1" applyBorder="1" applyAlignment="1" applyProtection="1">
      <alignment/>
      <protection/>
    </xf>
    <xf numFmtId="165" fontId="33" fillId="28" borderId="11" xfId="61" applyNumberFormat="1" applyFont="1" applyFill="1" applyBorder="1" applyAlignment="1" applyProtection="1">
      <alignment horizontal="right"/>
      <protection/>
    </xf>
    <xf numFmtId="5" fontId="33" fillId="28" borderId="11" xfId="0" applyNumberFormat="1" applyFont="1" applyFill="1" applyBorder="1" applyAlignment="1" applyProtection="1">
      <alignment/>
      <protection/>
    </xf>
    <xf numFmtId="165" fontId="35" fillId="28" borderId="11" xfId="0" applyNumberFormat="1" applyFont="1" applyFill="1" applyBorder="1" applyAlignment="1" applyProtection="1">
      <alignment horizontal="center"/>
      <protection/>
    </xf>
    <xf numFmtId="165" fontId="30" fillId="28" borderId="11" xfId="61" applyNumberFormat="1" applyFont="1" applyFill="1" applyBorder="1" applyAlignment="1" applyProtection="1">
      <alignment horizontal="center"/>
      <protection/>
    </xf>
    <xf numFmtId="165" fontId="35" fillId="28" borderId="11" xfId="61" applyNumberFormat="1" applyFont="1" applyFill="1" applyBorder="1" applyAlignment="1" applyProtection="1">
      <alignment horizontal="center"/>
      <protection/>
    </xf>
    <xf numFmtId="165" fontId="30" fillId="28" borderId="11" xfId="0" applyNumberFormat="1" applyFont="1" applyFill="1" applyBorder="1" applyAlignment="1" applyProtection="1">
      <alignment horizontal="center"/>
      <protection/>
    </xf>
    <xf numFmtId="5" fontId="27" fillId="28" borderId="11" xfId="0" applyNumberFormat="1" applyFont="1" applyFill="1" applyBorder="1" applyAlignment="1" applyProtection="1">
      <alignment/>
      <protection/>
    </xf>
    <xf numFmtId="0" fontId="0" fillId="28" borderId="22" xfId="0" applyFill="1" applyBorder="1" applyAlignment="1">
      <alignment/>
    </xf>
    <xf numFmtId="0" fontId="27" fillId="28" borderId="11" xfId="0" applyFont="1" applyFill="1" applyBorder="1" applyAlignment="1" applyProtection="1">
      <alignment horizontal="center"/>
      <protection/>
    </xf>
    <xf numFmtId="0" fontId="0" fillId="28" borderId="11" xfId="0" applyFont="1" applyFill="1" applyBorder="1" applyAlignment="1" applyProtection="1">
      <alignment horizontal="center"/>
      <protection/>
    </xf>
    <xf numFmtId="0" fontId="0" fillId="28" borderId="11" xfId="0" applyFont="1" applyFill="1" applyBorder="1" applyAlignment="1" applyProtection="1" quotePrefix="1">
      <alignment horizontal="center"/>
      <protection/>
    </xf>
    <xf numFmtId="16" fontId="27" fillId="27" borderId="11" xfId="0" applyNumberFormat="1" applyFont="1" applyFill="1" applyBorder="1" applyAlignment="1" applyProtection="1">
      <alignment horizontal="center"/>
      <protection/>
    </xf>
    <xf numFmtId="37" fontId="27" fillId="28" borderId="10" xfId="0" applyNumberFormat="1" applyFont="1" applyFill="1" applyBorder="1" applyAlignment="1" applyProtection="1">
      <alignment horizontal="center"/>
      <protection/>
    </xf>
    <xf numFmtId="0" fontId="27" fillId="28" borderId="11" xfId="0" applyFont="1" applyFill="1" applyBorder="1" applyAlignment="1" applyProtection="1">
      <alignment/>
      <protection/>
    </xf>
    <xf numFmtId="5" fontId="30" fillId="0" borderId="0" xfId="0" applyNumberFormat="1" applyFont="1" applyAlignment="1" applyProtection="1">
      <alignment/>
      <protection/>
    </xf>
    <xf numFmtId="5" fontId="30" fillId="26" borderId="0" xfId="0" applyNumberFormat="1" applyFont="1" applyFill="1" applyAlignment="1" applyProtection="1">
      <alignment/>
      <protection/>
    </xf>
    <xf numFmtId="0" fontId="22" fillId="0" borderId="23" xfId="0" applyFont="1" applyBorder="1" applyAlignment="1">
      <alignment vertical="top" wrapText="1"/>
    </xf>
    <xf numFmtId="0" fontId="22" fillId="26" borderId="12" xfId="0" applyFont="1" applyFill="1" applyBorder="1" applyAlignment="1">
      <alignment vertical="top" wrapText="1"/>
    </xf>
    <xf numFmtId="0" fontId="22" fillId="26" borderId="16" xfId="0" applyFont="1" applyFill="1" applyBorder="1" applyAlignment="1">
      <alignment vertical="top" wrapText="1"/>
    </xf>
    <xf numFmtId="0" fontId="22" fillId="26" borderId="15" xfId="0" applyFont="1" applyFill="1" applyBorder="1" applyAlignment="1">
      <alignment vertical="top" wrapText="1"/>
    </xf>
    <xf numFmtId="0" fontId="46" fillId="28" borderId="11" xfId="0" applyFont="1" applyFill="1" applyBorder="1" applyAlignment="1" applyProtection="1">
      <alignment horizontal="left" indent="2"/>
      <protection/>
    </xf>
    <xf numFmtId="0" fontId="27" fillId="26" borderId="11" xfId="0" applyFont="1" applyFill="1" applyBorder="1" applyAlignment="1">
      <alignment horizontal="center"/>
    </xf>
    <xf numFmtId="165" fontId="35" fillId="25" borderId="11" xfId="61" applyNumberFormat="1" applyFont="1" applyFill="1" applyBorder="1" applyAlignment="1" applyProtection="1">
      <alignment horizontal="center"/>
      <protection locked="0"/>
    </xf>
    <xf numFmtId="165" fontId="30" fillId="25" borderId="11" xfId="61" applyNumberFormat="1" applyFont="1" applyFill="1" applyBorder="1" applyAlignment="1" applyProtection="1">
      <alignment horizontal="center"/>
      <protection locked="0"/>
    </xf>
    <xf numFmtId="0" fontId="27" fillId="26" borderId="19" xfId="0" applyFont="1" applyFill="1" applyBorder="1" applyAlignment="1">
      <alignment horizontal="center"/>
    </xf>
    <xf numFmtId="169" fontId="0" fillId="0" borderId="0" xfId="0" applyNumberFormat="1" applyAlignment="1" applyProtection="1">
      <alignment/>
      <protection locked="0"/>
    </xf>
    <xf numFmtId="169" fontId="0" fillId="0" borderId="0" xfId="0" applyNumberFormat="1" applyAlignment="1">
      <alignment/>
    </xf>
    <xf numFmtId="0" fontId="30" fillId="28" borderId="17" xfId="61" applyFont="1" applyFill="1" applyBorder="1" applyAlignment="1" applyProtection="1">
      <alignment horizontal="left" vertical="top"/>
      <protection locked="0"/>
    </xf>
    <xf numFmtId="0" fontId="37" fillId="27" borderId="11" xfId="61" applyFont="1" applyFill="1" applyBorder="1" applyAlignment="1" applyProtection="1">
      <alignment horizontal="left" indent="1"/>
      <protection/>
    </xf>
    <xf numFmtId="169" fontId="47" fillId="28" borderId="11" xfId="61" applyNumberFormat="1" applyFont="1" applyFill="1" applyBorder="1" applyAlignment="1" applyProtection="1">
      <alignment horizontal="right"/>
      <protection/>
    </xf>
    <xf numFmtId="166" fontId="0" fillId="0" borderId="0" xfId="0" applyNumberFormat="1" applyAlignment="1">
      <alignment/>
    </xf>
    <xf numFmtId="166" fontId="47" fillId="28" borderId="11" xfId="61" applyNumberFormat="1" applyFont="1" applyFill="1" applyBorder="1" applyAlignment="1" applyProtection="1">
      <alignment horizontal="right"/>
      <protection/>
    </xf>
    <xf numFmtId="0" fontId="32" fillId="28" borderId="11" xfId="0" applyNumberFormat="1" applyFont="1" applyFill="1" applyBorder="1" applyAlignment="1" applyProtection="1">
      <alignment horizontal="left" wrapText="1" indent="2"/>
      <protection locked="0"/>
    </xf>
    <xf numFmtId="0" fontId="32" fillId="28" borderId="11" xfId="0" applyNumberFormat="1" applyFont="1" applyFill="1" applyBorder="1" applyAlignment="1" applyProtection="1">
      <alignment horizontal="left" indent="2"/>
      <protection locked="0"/>
    </xf>
    <xf numFmtId="0" fontId="30" fillId="28" borderId="10" xfId="61" applyFont="1" applyFill="1" applyBorder="1" applyAlignment="1" applyProtection="1">
      <alignment horizontal="left" vertical="top"/>
      <protection/>
    </xf>
    <xf numFmtId="0" fontId="30" fillId="28" borderId="17" xfId="61" applyFont="1" applyFill="1" applyBorder="1" applyAlignment="1" applyProtection="1">
      <alignment horizontal="left" vertical="top"/>
      <protection/>
    </xf>
    <xf numFmtId="0" fontId="36" fillId="28" borderId="10" xfId="61" applyFont="1" applyFill="1" applyBorder="1" applyAlignment="1" applyProtection="1">
      <alignment horizontal="left" vertical="top" wrapText="1"/>
      <protection/>
    </xf>
    <xf numFmtId="0" fontId="30" fillId="28" borderId="12" xfId="61" applyFont="1" applyFill="1" applyBorder="1" applyAlignment="1" applyProtection="1">
      <alignment horizontal="left" vertical="top"/>
      <protection/>
    </xf>
    <xf numFmtId="0" fontId="30" fillId="28" borderId="24" xfId="61" applyFont="1" applyFill="1" applyBorder="1" applyAlignment="1" applyProtection="1">
      <alignment horizontal="left" vertical="top"/>
      <protection/>
    </xf>
    <xf numFmtId="0" fontId="22" fillId="28" borderId="10" xfId="0" applyFont="1" applyFill="1" applyBorder="1" applyAlignment="1" applyProtection="1">
      <alignment vertical="top" wrapText="1"/>
      <protection/>
    </xf>
    <xf numFmtId="0" fontId="30" fillId="28" borderId="17" xfId="61" applyFont="1" applyFill="1" applyBorder="1" applyAlignment="1" applyProtection="1">
      <alignment horizontal="left" indent="2"/>
      <protection/>
    </xf>
    <xf numFmtId="0" fontId="30" fillId="28" borderId="10" xfId="61" applyFont="1" applyFill="1" applyBorder="1" applyAlignment="1" applyProtection="1">
      <alignment horizontal="left" indent="2"/>
      <protection/>
    </xf>
    <xf numFmtId="0" fontId="30" fillId="28" borderId="25" xfId="61" applyFont="1" applyFill="1" applyBorder="1" applyAlignment="1" applyProtection="1">
      <alignment horizontal="left" vertical="top"/>
      <protection/>
    </xf>
    <xf numFmtId="0" fontId="22" fillId="26" borderId="11" xfId="0" applyFont="1" applyFill="1" applyBorder="1" applyAlignment="1">
      <alignment horizontal="left" vertical="top" wrapText="1"/>
    </xf>
    <xf numFmtId="0" fontId="27" fillId="26" borderId="12" xfId="0" applyFont="1" applyFill="1" applyBorder="1" applyAlignment="1">
      <alignment horizontal="center"/>
    </xf>
    <xf numFmtId="0" fontId="27" fillId="26" borderId="15" xfId="0" applyFont="1" applyFill="1" applyBorder="1" applyAlignment="1">
      <alignment horizontal="center"/>
    </xf>
    <xf numFmtId="0" fontId="27" fillId="26" borderId="16" xfId="0" applyFont="1" applyFill="1" applyBorder="1" applyAlignment="1">
      <alignment horizontal="center"/>
    </xf>
    <xf numFmtId="49" fontId="22" fillId="0" borderId="12" xfId="0" applyNumberFormat="1" applyFont="1" applyFill="1" applyBorder="1" applyAlignment="1">
      <alignment horizontal="left" vertical="center" wrapText="1"/>
    </xf>
    <xf numFmtId="49" fontId="22" fillId="0" borderId="16" xfId="0" applyNumberFormat="1" applyFont="1" applyFill="1" applyBorder="1" applyAlignment="1">
      <alignment horizontal="left" vertical="center" wrapText="1"/>
    </xf>
    <xf numFmtId="49" fontId="22" fillId="0" borderId="16" xfId="0" applyNumberFormat="1" applyFont="1" applyFill="1" applyBorder="1" applyAlignment="1">
      <alignment horizontal="left" vertical="top" wrapText="1"/>
    </xf>
    <xf numFmtId="49" fontId="22" fillId="0" borderId="15" xfId="0" applyNumberFormat="1" applyFont="1" applyFill="1" applyBorder="1" applyAlignment="1">
      <alignment horizontal="left" vertical="top" wrapText="1"/>
    </xf>
    <xf numFmtId="49" fontId="22" fillId="0" borderId="11" xfId="0" applyNumberFormat="1" applyFont="1" applyFill="1" applyBorder="1" applyAlignment="1">
      <alignment horizontal="left" vertical="top" wrapText="1"/>
    </xf>
    <xf numFmtId="0" fontId="0" fillId="28" borderId="26" xfId="0" applyFill="1" applyBorder="1" applyAlignment="1">
      <alignment/>
    </xf>
    <xf numFmtId="0" fontId="22" fillId="0" borderId="16" xfId="0" applyFont="1" applyFill="1" applyBorder="1" applyAlignment="1">
      <alignment wrapText="1"/>
    </xf>
    <xf numFmtId="0" fontId="22" fillId="26" borderId="11" xfId="0" applyNumberFormat="1" applyFont="1" applyFill="1" applyBorder="1" applyAlignment="1">
      <alignment horizontal="left" vertical="top" wrapText="1"/>
    </xf>
    <xf numFmtId="0" fontId="26" fillId="26" borderId="11" xfId="0" applyNumberFormat="1" applyFont="1" applyFill="1" applyBorder="1" applyAlignment="1" quotePrefix="1">
      <alignment horizontal="left" vertical="top" wrapText="1"/>
    </xf>
    <xf numFmtId="0" fontId="26" fillId="26" borderId="11" xfId="0" applyNumberFormat="1" applyFont="1" applyFill="1" applyBorder="1" applyAlignment="1" quotePrefix="1">
      <alignment horizontal="left" wrapText="1"/>
    </xf>
    <xf numFmtId="0" fontId="21" fillId="25" borderId="22" xfId="0" applyFont="1" applyFill="1" applyBorder="1" applyAlignment="1">
      <alignment horizontal="center" wrapText="1"/>
    </xf>
    <xf numFmtId="0" fontId="26" fillId="25" borderId="22" xfId="0" applyFont="1" applyFill="1" applyBorder="1" applyAlignment="1">
      <alignment horizontal="center" wrapText="1"/>
    </xf>
    <xf numFmtId="0" fontId="27" fillId="29" borderId="11" xfId="0" applyFont="1" applyFill="1" applyBorder="1" applyAlignment="1">
      <alignment horizontal="center"/>
    </xf>
    <xf numFmtId="0" fontId="28" fillId="25" borderId="11" xfId="0" applyFont="1" applyFill="1" applyBorder="1" applyAlignment="1">
      <alignment horizontal="center"/>
    </xf>
    <xf numFmtId="0" fontId="21" fillId="0" borderId="0" xfId="0" applyFont="1" applyFill="1" applyAlignment="1" applyProtection="1">
      <alignment/>
      <protection/>
    </xf>
    <xf numFmtId="0" fontId="21" fillId="0" borderId="0" xfId="0" applyFont="1" applyFill="1" applyAlignment="1" applyProtection="1">
      <alignment horizontal="left"/>
      <protection/>
    </xf>
    <xf numFmtId="0" fontId="0" fillId="0" borderId="0" xfId="0" applyAlignment="1" applyProtection="1">
      <alignment/>
      <protection/>
    </xf>
    <xf numFmtId="0" fontId="0" fillId="0" borderId="27" xfId="0" applyFont="1" applyBorder="1" applyAlignment="1" applyProtection="1">
      <alignment/>
      <protection/>
    </xf>
    <xf numFmtId="0" fontId="0" fillId="0" borderId="28" xfId="0"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locked="0"/>
    </xf>
    <xf numFmtId="0" fontId="0" fillId="0" borderId="29" xfId="0" applyBorder="1" applyAlignment="1" applyProtection="1">
      <alignment horizontal="left" indent="1"/>
      <protection/>
    </xf>
    <xf numFmtId="0" fontId="0" fillId="0" borderId="30" xfId="0" applyFill="1" applyBorder="1" applyAlignment="1" applyProtection="1">
      <alignment/>
      <protection locked="0"/>
    </xf>
    <xf numFmtId="0" fontId="0" fillId="0" borderId="27" xfId="0" applyFill="1" applyBorder="1" applyAlignment="1" applyProtection="1">
      <alignment horizontal="left" wrapText="1" indent="1"/>
      <protection/>
    </xf>
    <xf numFmtId="8" fontId="0" fillId="0" borderId="0" xfId="0" applyNumberFormat="1" applyFill="1" applyBorder="1" applyAlignment="1" applyProtection="1">
      <alignment/>
      <protection locked="0"/>
    </xf>
    <xf numFmtId="0" fontId="0" fillId="0" borderId="28" xfId="0" applyFill="1" applyBorder="1" applyAlignment="1" applyProtection="1">
      <alignment/>
      <protection locked="0"/>
    </xf>
    <xf numFmtId="0" fontId="0" fillId="28" borderId="31" xfId="0" applyFont="1" applyFill="1" applyBorder="1" applyAlignment="1" applyProtection="1">
      <alignment/>
      <protection/>
    </xf>
    <xf numFmtId="0" fontId="0" fillId="28" borderId="32" xfId="0" applyFill="1" applyBorder="1" applyAlignment="1" applyProtection="1">
      <alignment/>
      <protection/>
    </xf>
    <xf numFmtId="0" fontId="0" fillId="28" borderId="21" xfId="0" applyFill="1" applyBorder="1" applyAlignment="1" applyProtection="1">
      <alignment/>
      <protection/>
    </xf>
    <xf numFmtId="0" fontId="0" fillId="28" borderId="0" xfId="0" applyFill="1" applyBorder="1" applyAlignment="1" applyProtection="1">
      <alignment/>
      <protection/>
    </xf>
    <xf numFmtId="0" fontId="0" fillId="28" borderId="33" xfId="0" applyFill="1" applyBorder="1" applyAlignment="1" applyProtection="1">
      <alignment/>
      <protection/>
    </xf>
    <xf numFmtId="0" fontId="0" fillId="28" borderId="34" xfId="0" applyFill="1" applyBorder="1" applyAlignment="1" applyProtection="1">
      <alignment/>
      <protection/>
    </xf>
    <xf numFmtId="0" fontId="0" fillId="28" borderId="23" xfId="0" applyFill="1" applyBorder="1" applyAlignment="1" applyProtection="1">
      <alignment/>
      <protection/>
    </xf>
    <xf numFmtId="0" fontId="0" fillId="28" borderId="31" xfId="0" applyFill="1" applyBorder="1" applyAlignment="1" applyProtection="1">
      <alignment/>
      <protection/>
    </xf>
    <xf numFmtId="0" fontId="0" fillId="28" borderId="14" xfId="0" applyFont="1" applyFill="1" applyBorder="1" applyAlignment="1" applyProtection="1">
      <alignment horizontal="left" indent="1"/>
      <protection/>
    </xf>
    <xf numFmtId="0" fontId="21" fillId="28" borderId="11" xfId="0" applyFont="1" applyFill="1" applyBorder="1" applyAlignment="1" applyProtection="1">
      <alignment/>
      <protection/>
    </xf>
    <xf numFmtId="0" fontId="21" fillId="28" borderId="19" xfId="0" applyFont="1" applyFill="1" applyBorder="1" applyAlignment="1" applyProtection="1">
      <alignment/>
      <protection/>
    </xf>
    <xf numFmtId="0" fontId="0" fillId="28" borderId="26" xfId="0" applyFill="1" applyBorder="1" applyAlignment="1" applyProtection="1">
      <alignment/>
      <protection/>
    </xf>
    <xf numFmtId="0" fontId="0" fillId="28" borderId="22" xfId="0" applyFill="1" applyBorder="1" applyAlignment="1" applyProtection="1">
      <alignment/>
      <protection/>
    </xf>
    <xf numFmtId="0" fontId="0" fillId="28" borderId="19" xfId="0" applyFont="1" applyFill="1" applyBorder="1" applyAlignment="1" applyProtection="1">
      <alignment/>
      <protection/>
    </xf>
    <xf numFmtId="0" fontId="0" fillId="28" borderId="17" xfId="0" applyFill="1" applyBorder="1" applyAlignment="1" applyProtection="1">
      <alignment horizontal="left" indent="1"/>
      <protection/>
    </xf>
    <xf numFmtId="0" fontId="0" fillId="28" borderId="10" xfId="0" applyFill="1" applyBorder="1" applyAlignment="1" applyProtection="1">
      <alignment horizontal="left" indent="1"/>
      <protection/>
    </xf>
    <xf numFmtId="0" fontId="0" fillId="28" borderId="13" xfId="0" applyFill="1" applyBorder="1" applyAlignment="1" applyProtection="1">
      <alignment horizontal="left" indent="1"/>
      <protection/>
    </xf>
    <xf numFmtId="0" fontId="0" fillId="28" borderId="11" xfId="0" applyFill="1" applyBorder="1" applyAlignment="1" applyProtection="1">
      <alignment horizontal="left" wrapText="1" indent="1"/>
      <protection/>
    </xf>
    <xf numFmtId="0" fontId="22" fillId="0" borderId="11" xfId="0" applyFont="1" applyFill="1" applyBorder="1" applyAlignment="1">
      <alignment vertical="center" wrapText="1"/>
    </xf>
    <xf numFmtId="0" fontId="27" fillId="0" borderId="11" xfId="0" applyFont="1" applyFill="1" applyBorder="1" applyAlignment="1">
      <alignment horizontal="center" vertical="center"/>
    </xf>
    <xf numFmtId="49" fontId="27" fillId="0" borderId="11" xfId="0" applyNumberFormat="1" applyFont="1" applyFill="1" applyBorder="1" applyAlignment="1">
      <alignment horizontal="center" vertical="center"/>
    </xf>
    <xf numFmtId="0" fontId="26" fillId="29" borderId="11" xfId="0" applyFont="1" applyFill="1" applyBorder="1" applyAlignment="1">
      <alignment horizontal="center" wrapText="1"/>
    </xf>
    <xf numFmtId="0" fontId="39" fillId="26" borderId="11" xfId="0" applyNumberFormat="1" applyFont="1" applyFill="1" applyBorder="1" applyAlignment="1" quotePrefix="1">
      <alignment horizontal="left" wrapText="1"/>
    </xf>
    <xf numFmtId="169" fontId="30" fillId="0" borderId="11" xfId="0" applyNumberFormat="1" applyFont="1" applyBorder="1" applyAlignment="1" applyProtection="1">
      <alignment/>
      <protection locked="0"/>
    </xf>
    <xf numFmtId="0" fontId="32" fillId="26" borderId="11" xfId="0" applyNumberFormat="1" applyFont="1" applyFill="1" applyBorder="1" applyAlignment="1" applyProtection="1">
      <alignment horizontal="left" wrapText="1" indent="2"/>
      <protection locked="0"/>
    </xf>
    <xf numFmtId="0" fontId="0" fillId="26" borderId="35" xfId="0" applyFill="1" applyBorder="1" applyAlignment="1" applyProtection="1">
      <alignment/>
      <protection locked="0"/>
    </xf>
    <xf numFmtId="0" fontId="0" fillId="26" borderId="35" xfId="0" applyFill="1" applyBorder="1" applyAlignment="1" applyProtection="1">
      <alignment horizontal="left" indent="1"/>
      <protection/>
    </xf>
    <xf numFmtId="0" fontId="22" fillId="26" borderId="11" xfId="0" applyNumberFormat="1" applyFont="1" applyFill="1" applyBorder="1" applyAlignment="1">
      <alignment horizontal="left" wrapText="1"/>
    </xf>
    <xf numFmtId="5" fontId="27" fillId="26" borderId="10" xfId="42" applyNumberFormat="1" applyFont="1" applyFill="1" applyBorder="1" applyAlignment="1" applyProtection="1">
      <alignment/>
      <protection locked="0"/>
    </xf>
    <xf numFmtId="167" fontId="27" fillId="26" borderId="10" xfId="42" applyNumberFormat="1" applyFont="1" applyFill="1" applyBorder="1" applyAlignment="1" applyProtection="1">
      <alignment/>
      <protection locked="0"/>
    </xf>
    <xf numFmtId="10" fontId="27" fillId="26" borderId="13" xfId="42" applyNumberFormat="1" applyFont="1" applyFill="1" applyBorder="1" applyAlignment="1" applyProtection="1">
      <alignment/>
      <protection locked="0"/>
    </xf>
    <xf numFmtId="10" fontId="27" fillId="26" borderId="13" xfId="0" applyNumberFormat="1" applyFont="1" applyFill="1" applyBorder="1" applyAlignment="1" applyProtection="1">
      <alignment/>
      <protection locked="0"/>
    </xf>
    <xf numFmtId="167" fontId="0" fillId="28" borderId="17" xfId="42" applyNumberFormat="1" applyFont="1" applyFill="1" applyBorder="1" applyAlignment="1" applyProtection="1">
      <alignment horizontal="center"/>
      <protection/>
    </xf>
    <xf numFmtId="167" fontId="0" fillId="28" borderId="10" xfId="42" applyNumberFormat="1" applyFont="1" applyFill="1" applyBorder="1" applyAlignment="1" applyProtection="1">
      <alignment horizontal="center"/>
      <protection/>
    </xf>
    <xf numFmtId="5" fontId="27" fillId="26" borderId="0" xfId="42" applyNumberFormat="1" applyFont="1" applyFill="1" applyBorder="1" applyAlignment="1" applyProtection="1">
      <alignment horizontal="center"/>
      <protection/>
    </xf>
    <xf numFmtId="5" fontId="27" fillId="28" borderId="11" xfId="0" applyNumberFormat="1" applyFont="1" applyFill="1" applyBorder="1" applyAlignment="1" applyProtection="1">
      <alignment horizontal="center"/>
      <protection/>
    </xf>
    <xf numFmtId="0" fontId="0" fillId="0" borderId="0" xfId="0" applyAlignment="1" applyProtection="1">
      <alignment horizontal="center"/>
      <protection/>
    </xf>
    <xf numFmtId="0" fontId="27" fillId="0" borderId="0" xfId="0" applyFont="1" applyAlignment="1" applyProtection="1">
      <alignment horizontal="center"/>
      <protection/>
    </xf>
    <xf numFmtId="0" fontId="36" fillId="27" borderId="15" xfId="61" applyFont="1" applyFill="1" applyBorder="1" applyAlignment="1" applyProtection="1">
      <alignment horizontal="left" vertical="top"/>
      <protection/>
    </xf>
    <xf numFmtId="0" fontId="30" fillId="28" borderId="17" xfId="61" applyFont="1" applyFill="1" applyBorder="1" applyAlignment="1" applyProtection="1">
      <alignment horizontal="left" vertical="top" wrapText="1"/>
      <protection/>
    </xf>
    <xf numFmtId="0" fontId="33" fillId="27" borderId="11" xfId="61" applyFont="1" applyFill="1" applyBorder="1" applyAlignment="1" applyProtection="1">
      <alignment horizontal="left" vertical="top"/>
      <protection/>
    </xf>
    <xf numFmtId="0" fontId="33" fillId="27" borderId="17" xfId="61" applyFont="1" applyFill="1" applyBorder="1" applyAlignment="1" applyProtection="1">
      <alignment horizontal="left" vertical="top"/>
      <protection/>
    </xf>
    <xf numFmtId="0" fontId="33" fillId="26" borderId="0" xfId="0" applyFont="1" applyFill="1" applyAlignment="1" applyProtection="1">
      <alignment/>
      <protection/>
    </xf>
    <xf numFmtId="0" fontId="0" fillId="26" borderId="0" xfId="0" applyFill="1" applyAlignment="1" applyProtection="1">
      <alignment/>
      <protection/>
    </xf>
    <xf numFmtId="165" fontId="33" fillId="0" borderId="0" xfId="0" applyNumberFormat="1" applyFont="1" applyBorder="1" applyAlignment="1" applyProtection="1">
      <alignment horizontal="left"/>
      <protection/>
    </xf>
    <xf numFmtId="165" fontId="33" fillId="26" borderId="0" xfId="0" applyNumberFormat="1" applyFont="1" applyFill="1" applyBorder="1" applyAlignment="1" applyProtection="1">
      <alignment horizontal="right"/>
      <protection/>
    </xf>
    <xf numFmtId="0" fontId="33" fillId="26" borderId="0" xfId="0" applyFont="1" applyFill="1" applyBorder="1" applyAlignment="1" applyProtection="1">
      <alignment/>
      <protection/>
    </xf>
    <xf numFmtId="5" fontId="33" fillId="28" borderId="11" xfId="61" applyNumberFormat="1" applyFont="1" applyFill="1" applyBorder="1" applyAlignment="1" applyProtection="1">
      <alignment horizontal="right"/>
      <protection/>
    </xf>
    <xf numFmtId="165" fontId="33" fillId="0" borderId="0" xfId="61" applyNumberFormat="1" applyFont="1" applyFill="1" applyBorder="1" applyAlignment="1" applyProtection="1">
      <alignment horizontal="right"/>
      <protection/>
    </xf>
    <xf numFmtId="165" fontId="30" fillId="0" borderId="0" xfId="0" applyNumberFormat="1" applyFont="1" applyBorder="1" applyAlignment="1" applyProtection="1">
      <alignment/>
      <protection/>
    </xf>
    <xf numFmtId="165" fontId="30" fillId="26" borderId="0" xfId="0" applyNumberFormat="1" applyFont="1" applyFill="1" applyBorder="1" applyAlignment="1" applyProtection="1">
      <alignment/>
      <protection/>
    </xf>
    <xf numFmtId="0" fontId="30" fillId="26" borderId="0" xfId="0" applyFont="1" applyFill="1" applyBorder="1" applyAlignment="1" applyProtection="1">
      <alignment/>
      <protection/>
    </xf>
    <xf numFmtId="5" fontId="30" fillId="0" borderId="0" xfId="0" applyNumberFormat="1" applyFont="1" applyBorder="1" applyAlignment="1" applyProtection="1">
      <alignment/>
      <protection/>
    </xf>
    <xf numFmtId="5" fontId="30" fillId="26" borderId="0" xfId="0" applyNumberFormat="1" applyFont="1" applyFill="1" applyBorder="1" applyAlignment="1" applyProtection="1">
      <alignment/>
      <protection/>
    </xf>
    <xf numFmtId="5" fontId="33" fillId="0" borderId="0" xfId="0" applyNumberFormat="1" applyFont="1" applyAlignment="1" applyProtection="1">
      <alignment/>
      <protection/>
    </xf>
    <xf numFmtId="5" fontId="33" fillId="26" borderId="0" xfId="0" applyNumberFormat="1" applyFont="1" applyFill="1" applyAlignment="1" applyProtection="1">
      <alignment/>
      <protection/>
    </xf>
    <xf numFmtId="5" fontId="33" fillId="0" borderId="0" xfId="0" applyNumberFormat="1" applyFont="1" applyBorder="1" applyAlignment="1" applyProtection="1">
      <alignment/>
      <protection/>
    </xf>
    <xf numFmtId="0" fontId="30" fillId="26" borderId="0" xfId="0" applyFont="1" applyFill="1" applyAlignment="1" applyProtection="1">
      <alignment/>
      <protection/>
    </xf>
    <xf numFmtId="0" fontId="38" fillId="0" borderId="0" xfId="0" applyFont="1" applyAlignment="1" applyProtection="1">
      <alignment horizontal="center"/>
      <protection/>
    </xf>
    <xf numFmtId="165" fontId="30" fillId="0" borderId="0" xfId="0" applyNumberFormat="1" applyFont="1" applyAlignment="1" applyProtection="1">
      <alignment horizontal="right"/>
      <protection/>
    </xf>
    <xf numFmtId="165" fontId="30" fillId="0" borderId="0" xfId="0" applyNumberFormat="1" applyFont="1" applyAlignment="1" applyProtection="1">
      <alignment horizontal="left"/>
      <protection/>
    </xf>
    <xf numFmtId="165" fontId="30" fillId="26" borderId="0" xfId="0" applyNumberFormat="1" applyFont="1" applyFill="1" applyAlignment="1" applyProtection="1">
      <alignment horizontal="right"/>
      <protection/>
    </xf>
    <xf numFmtId="165" fontId="30" fillId="26" borderId="0" xfId="0" applyNumberFormat="1" applyFont="1" applyFill="1" applyBorder="1" applyAlignment="1" applyProtection="1">
      <alignment horizontal="right"/>
      <protection/>
    </xf>
    <xf numFmtId="165" fontId="30" fillId="26" borderId="0" xfId="0" applyNumberFormat="1" applyFont="1" applyFill="1" applyAlignment="1" applyProtection="1">
      <alignment horizontal="left"/>
      <protection/>
    </xf>
    <xf numFmtId="165" fontId="34" fillId="0" borderId="0" xfId="0" applyNumberFormat="1" applyFont="1" applyAlignment="1" applyProtection="1">
      <alignment horizontal="center"/>
      <protection/>
    </xf>
    <xf numFmtId="165" fontId="34" fillId="26" borderId="0" xfId="0" applyNumberFormat="1" applyFont="1" applyFill="1" applyAlignment="1" applyProtection="1">
      <alignment horizontal="center"/>
      <protection/>
    </xf>
    <xf numFmtId="165" fontId="30" fillId="0" borderId="0" xfId="61" applyNumberFormat="1" applyFont="1" applyAlignment="1" applyProtection="1">
      <alignment horizontal="left"/>
      <protection/>
    </xf>
    <xf numFmtId="165" fontId="30" fillId="26" borderId="0" xfId="61" applyNumberFormat="1" applyFont="1" applyFill="1" applyAlignment="1" applyProtection="1">
      <alignment horizontal="right"/>
      <protection/>
    </xf>
    <xf numFmtId="165" fontId="33" fillId="26" borderId="0" xfId="61" applyNumberFormat="1" applyFont="1" applyFill="1" applyBorder="1" applyAlignment="1" applyProtection="1">
      <alignment horizontal="right"/>
      <protection/>
    </xf>
    <xf numFmtId="165" fontId="33" fillId="26" borderId="0" xfId="61" applyNumberFormat="1" applyFont="1" applyFill="1" applyAlignment="1" applyProtection="1">
      <alignment horizontal="left"/>
      <protection/>
    </xf>
    <xf numFmtId="165" fontId="30" fillId="26" borderId="0" xfId="61" applyNumberFormat="1" applyFont="1" applyFill="1" applyAlignment="1" applyProtection="1">
      <alignment horizontal="left"/>
      <protection/>
    </xf>
    <xf numFmtId="165" fontId="30" fillId="26" borderId="0" xfId="0" applyNumberFormat="1" applyFont="1" applyFill="1" applyAlignment="1" applyProtection="1">
      <alignment/>
      <protection/>
    </xf>
    <xf numFmtId="165" fontId="30" fillId="0" borderId="0" xfId="61" applyNumberFormat="1" applyFont="1" applyAlignment="1" applyProtection="1">
      <alignment horizontal="right"/>
      <protection/>
    </xf>
    <xf numFmtId="165" fontId="30" fillId="0" borderId="0" xfId="61" applyNumberFormat="1" applyFont="1" applyBorder="1" applyAlignment="1" applyProtection="1">
      <alignment horizontal="right"/>
      <protection/>
    </xf>
    <xf numFmtId="165" fontId="30" fillId="0" borderId="0" xfId="61" applyNumberFormat="1" applyFont="1" applyBorder="1" applyAlignment="1" applyProtection="1">
      <alignment horizontal="left"/>
      <protection/>
    </xf>
    <xf numFmtId="165" fontId="30" fillId="26" borderId="0" xfId="61" applyNumberFormat="1" applyFont="1" applyFill="1" applyBorder="1" applyAlignment="1" applyProtection="1">
      <alignment horizontal="right"/>
      <protection/>
    </xf>
    <xf numFmtId="0" fontId="0" fillId="30" borderId="32" xfId="0" applyFill="1" applyBorder="1" applyAlignment="1" applyProtection="1">
      <alignment/>
      <protection/>
    </xf>
    <xf numFmtId="0" fontId="0" fillId="30" borderId="0" xfId="0" applyFill="1" applyBorder="1" applyAlignment="1" applyProtection="1">
      <alignment/>
      <protection/>
    </xf>
    <xf numFmtId="0" fontId="0" fillId="30" borderId="34" xfId="0" applyFill="1" applyBorder="1" applyAlignment="1" applyProtection="1">
      <alignment/>
      <protection/>
    </xf>
    <xf numFmtId="1" fontId="27" fillId="27" borderId="11" xfId="0" applyNumberFormat="1" applyFont="1" applyFill="1" applyBorder="1" applyAlignment="1" applyProtection="1">
      <alignment horizontal="center"/>
      <protection/>
    </xf>
    <xf numFmtId="169" fontId="0" fillId="28" borderId="17" xfId="0" applyNumberFormat="1" applyFill="1" applyBorder="1" applyAlignment="1" applyProtection="1">
      <alignment/>
      <protection/>
    </xf>
    <xf numFmtId="169" fontId="0" fillId="28" borderId="10" xfId="0" applyNumberFormat="1" applyFill="1" applyBorder="1" applyAlignment="1" applyProtection="1">
      <alignment/>
      <protection/>
    </xf>
    <xf numFmtId="169" fontId="0" fillId="0" borderId="0" xfId="0" applyNumberFormat="1" applyAlignment="1" applyProtection="1">
      <alignment/>
      <protection/>
    </xf>
    <xf numFmtId="169" fontId="26" fillId="28" borderId="11" xfId="0" applyNumberFormat="1" applyFont="1" applyFill="1" applyBorder="1" applyAlignment="1" applyProtection="1">
      <alignment/>
      <protection/>
    </xf>
    <xf numFmtId="169" fontId="26" fillId="26" borderId="0" xfId="0" applyNumberFormat="1" applyFont="1" applyFill="1" applyBorder="1" applyAlignment="1" applyProtection="1">
      <alignment/>
      <protection/>
    </xf>
    <xf numFmtId="169" fontId="0" fillId="26" borderId="0" xfId="0" applyNumberFormat="1" applyFill="1" applyAlignment="1" applyProtection="1">
      <alignment/>
      <protection/>
    </xf>
    <xf numFmtId="9" fontId="33" fillId="28" borderId="11" xfId="61" applyNumberFormat="1" applyFont="1" applyFill="1" applyBorder="1" applyAlignment="1" applyProtection="1">
      <alignment horizontal="right"/>
      <protection/>
    </xf>
    <xf numFmtId="166" fontId="0" fillId="28" borderId="17" xfId="0" applyNumberFormat="1" applyFill="1" applyBorder="1" applyAlignment="1" applyProtection="1">
      <alignment/>
      <protection/>
    </xf>
    <xf numFmtId="166" fontId="26" fillId="28" borderId="11" xfId="0" applyNumberFormat="1" applyFont="1" applyFill="1" applyBorder="1" applyAlignment="1" applyProtection="1">
      <alignment/>
      <protection/>
    </xf>
    <xf numFmtId="166" fontId="26" fillId="26" borderId="0" xfId="0" applyNumberFormat="1" applyFont="1" applyFill="1" applyBorder="1" applyAlignment="1" applyProtection="1">
      <alignment/>
      <protection/>
    </xf>
    <xf numFmtId="166" fontId="0" fillId="28" borderId="10" xfId="0" applyNumberFormat="1" applyFill="1" applyBorder="1" applyAlignment="1" applyProtection="1">
      <alignment/>
      <protection/>
    </xf>
    <xf numFmtId="166" fontId="33" fillId="28" borderId="11" xfId="61" applyNumberFormat="1" applyFont="1" applyFill="1" applyBorder="1" applyAlignment="1" applyProtection="1">
      <alignment horizontal="right"/>
      <protection/>
    </xf>
    <xf numFmtId="0" fontId="27" fillId="28" borderId="19" xfId="0" applyFont="1" applyFill="1" applyBorder="1" applyAlignment="1">
      <alignment horizontal="left"/>
    </xf>
    <xf numFmtId="5" fontId="33" fillId="26" borderId="0" xfId="0" applyNumberFormat="1" applyFont="1" applyFill="1" applyBorder="1" applyAlignment="1" applyProtection="1">
      <alignment/>
      <protection/>
    </xf>
    <xf numFmtId="165" fontId="35" fillId="25" borderId="11" xfId="61" applyNumberFormat="1" applyFont="1" applyFill="1" applyBorder="1" applyAlignment="1" applyProtection="1">
      <alignment horizontal="center"/>
      <protection/>
    </xf>
    <xf numFmtId="165" fontId="35" fillId="0" borderId="11" xfId="61" applyNumberFormat="1" applyFont="1" applyBorder="1" applyAlignment="1" applyProtection="1">
      <alignment horizontal="center"/>
      <protection/>
    </xf>
    <xf numFmtId="165" fontId="30" fillId="0" borderId="10" xfId="0" applyNumberFormat="1" applyFont="1" applyBorder="1" applyAlignment="1" applyProtection="1">
      <alignment/>
      <protection/>
    </xf>
    <xf numFmtId="5" fontId="27" fillId="26" borderId="0" xfId="0" applyNumberFormat="1" applyFont="1" applyFill="1" applyBorder="1" applyAlignment="1" applyProtection="1">
      <alignment horizontal="center"/>
      <protection/>
    </xf>
    <xf numFmtId="0" fontId="28" fillId="26" borderId="0" xfId="0" applyFont="1" applyFill="1" applyBorder="1" applyAlignment="1">
      <alignment horizontal="left" wrapText="1"/>
    </xf>
    <xf numFmtId="43" fontId="0" fillId="28" borderId="17" xfId="42" applyFont="1" applyFill="1" applyBorder="1" applyAlignment="1" applyProtection="1">
      <alignment horizontal="center"/>
      <protection/>
    </xf>
    <xf numFmtId="0" fontId="27" fillId="0" borderId="34" xfId="0" applyFont="1" applyFill="1" applyBorder="1" applyAlignment="1" applyProtection="1">
      <alignment/>
      <protection locked="0"/>
    </xf>
    <xf numFmtId="3" fontId="0" fillId="28" borderId="11" xfId="0" applyNumberFormat="1" applyFont="1" applyFill="1" applyBorder="1" applyAlignment="1" applyProtection="1">
      <alignment horizontal="center" wrapText="1"/>
      <protection/>
    </xf>
    <xf numFmtId="5" fontId="0" fillId="28" borderId="10" xfId="42" applyNumberFormat="1" applyFont="1" applyFill="1" applyBorder="1" applyAlignment="1" applyProtection="1">
      <alignment/>
      <protection/>
    </xf>
    <xf numFmtId="5" fontId="27" fillId="28" borderId="11" xfId="0" applyNumberFormat="1" applyFont="1" applyFill="1" applyBorder="1" applyAlignment="1" applyProtection="1">
      <alignment wrapText="1"/>
      <protection/>
    </xf>
    <xf numFmtId="0" fontId="26" fillId="28" borderId="11" xfId="0" applyFont="1" applyFill="1" applyBorder="1" applyAlignment="1" applyProtection="1">
      <alignment horizontal="left" wrapText="1" readingOrder="1"/>
      <protection/>
    </xf>
    <xf numFmtId="0" fontId="0" fillId="28" borderId="10" xfId="0" applyFont="1" applyFill="1" applyBorder="1" applyAlignment="1" applyProtection="1">
      <alignment vertical="top"/>
      <protection/>
    </xf>
    <xf numFmtId="43" fontId="27" fillId="28" borderId="11" xfId="42" applyFont="1" applyFill="1" applyBorder="1" applyAlignment="1" applyProtection="1">
      <alignment/>
      <protection/>
    </xf>
    <xf numFmtId="0" fontId="27" fillId="28" borderId="11" xfId="0" applyFont="1" applyFill="1" applyBorder="1" applyAlignment="1" applyProtection="1">
      <alignment horizontal="center" wrapText="1"/>
      <protection/>
    </xf>
    <xf numFmtId="0" fontId="26" fillId="28" borderId="11" xfId="0" applyFont="1" applyFill="1" applyBorder="1" applyAlignment="1" applyProtection="1">
      <alignment/>
      <protection/>
    </xf>
    <xf numFmtId="0" fontId="26" fillId="28" borderId="11" xfId="0" applyFont="1" applyFill="1" applyBorder="1" applyAlignment="1" applyProtection="1">
      <alignment horizontal="left"/>
      <protection/>
    </xf>
    <xf numFmtId="0" fontId="28" fillId="28" borderId="12" xfId="0" applyFont="1" applyFill="1" applyBorder="1" applyAlignment="1">
      <alignment horizontal="left" wrapText="1"/>
    </xf>
    <xf numFmtId="0" fontId="28" fillId="28" borderId="15" xfId="0" applyFont="1" applyFill="1" applyBorder="1" applyAlignment="1">
      <alignment horizontal="left" wrapText="1"/>
    </xf>
    <xf numFmtId="0" fontId="0" fillId="26" borderId="25" xfId="0" applyFill="1" applyBorder="1" applyAlignment="1" applyProtection="1">
      <alignment/>
      <protection locked="0"/>
    </xf>
    <xf numFmtId="5" fontId="0" fillId="31" borderId="17" xfId="42" applyNumberFormat="1" applyFont="1" applyFill="1" applyBorder="1" applyAlignment="1" applyProtection="1">
      <alignment/>
      <protection locked="0"/>
    </xf>
    <xf numFmtId="0" fontId="0" fillId="28" borderId="13" xfId="0" applyFont="1" applyFill="1" applyBorder="1" applyAlignment="1" applyProtection="1">
      <alignment vertical="top"/>
      <protection/>
    </xf>
    <xf numFmtId="43" fontId="0" fillId="28" borderId="11" xfId="0" applyNumberFormat="1" applyFill="1" applyBorder="1" applyAlignment="1" applyProtection="1">
      <alignment/>
      <protection/>
    </xf>
    <xf numFmtId="0" fontId="27" fillId="28" borderId="11" xfId="0" applyFont="1" applyFill="1" applyBorder="1" applyAlignment="1" applyProtection="1" quotePrefix="1">
      <alignment/>
      <protection/>
    </xf>
    <xf numFmtId="0" fontId="22" fillId="0" borderId="0" xfId="0" applyFont="1" applyBorder="1" applyAlignment="1">
      <alignment vertical="top" wrapText="1"/>
    </xf>
    <xf numFmtId="49" fontId="48" fillId="32" borderId="11" xfId="0" applyNumberFormat="1" applyFont="1" applyFill="1" applyBorder="1" applyAlignment="1">
      <alignment horizontal="left" vertical="top" wrapText="1"/>
    </xf>
    <xf numFmtId="0" fontId="22" fillId="26" borderId="22" xfId="0" applyNumberFormat="1" applyFont="1" applyFill="1" applyBorder="1" applyAlignment="1">
      <alignment horizontal="left" vertical="top" wrapText="1"/>
    </xf>
    <xf numFmtId="0" fontId="22" fillId="0" borderId="33" xfId="0" applyFont="1" applyBorder="1" applyAlignment="1">
      <alignment/>
    </xf>
    <xf numFmtId="0" fontId="22" fillId="0" borderId="33" xfId="0" applyFont="1" applyBorder="1" applyAlignment="1">
      <alignment vertical="top" wrapText="1"/>
    </xf>
    <xf numFmtId="0" fontId="39" fillId="0" borderId="33" xfId="0" applyFont="1" applyBorder="1" applyAlignment="1">
      <alignment vertical="top" wrapText="1"/>
    </xf>
    <xf numFmtId="0" fontId="32" fillId="27" borderId="11" xfId="0" applyNumberFormat="1" applyFont="1" applyFill="1" applyBorder="1" applyAlignment="1" applyProtection="1">
      <alignment horizontal="center" wrapText="1"/>
      <protection/>
    </xf>
    <xf numFmtId="0" fontId="37" fillId="25" borderId="15" xfId="0" applyFont="1" applyFill="1" applyBorder="1" applyAlignment="1" applyProtection="1">
      <alignment horizontal="center"/>
      <protection/>
    </xf>
    <xf numFmtId="0" fontId="51" fillId="0" borderId="17" xfId="0" applyFont="1" applyBorder="1" applyAlignment="1" applyProtection="1">
      <alignment/>
      <protection locked="0"/>
    </xf>
    <xf numFmtId="0" fontId="51" fillId="0" borderId="10" xfId="0" applyFont="1" applyBorder="1" applyAlignment="1" applyProtection="1">
      <alignment/>
      <protection locked="0"/>
    </xf>
    <xf numFmtId="0" fontId="26" fillId="27" borderId="11" xfId="0" applyFont="1" applyFill="1" applyBorder="1" applyAlignment="1" applyProtection="1">
      <alignment horizontal="center" wrapText="1"/>
      <protection/>
    </xf>
    <xf numFmtId="0" fontId="51" fillId="0" borderId="13" xfId="0" applyFont="1" applyBorder="1" applyAlignment="1" applyProtection="1">
      <alignment/>
      <protection locked="0"/>
    </xf>
    <xf numFmtId="181" fontId="52" fillId="0" borderId="10" xfId="0" applyNumberFormat="1" applyFont="1" applyBorder="1" applyAlignment="1" applyProtection="1">
      <alignment/>
      <protection locked="0"/>
    </xf>
    <xf numFmtId="5" fontId="51" fillId="0" borderId="29" xfId="42" applyNumberFormat="1" applyFont="1" applyBorder="1" applyAlignment="1" applyProtection="1">
      <alignment/>
      <protection locked="0"/>
    </xf>
    <xf numFmtId="5" fontId="51" fillId="0" borderId="36" xfId="42" applyNumberFormat="1" applyFont="1" applyBorder="1" applyAlignment="1" applyProtection="1">
      <alignment/>
      <protection locked="0"/>
    </xf>
    <xf numFmtId="5" fontId="52" fillId="0" borderId="36" xfId="42" applyNumberFormat="1" applyFont="1" applyBorder="1" applyAlignment="1" applyProtection="1">
      <alignment/>
      <protection locked="0"/>
    </xf>
    <xf numFmtId="0" fontId="0" fillId="0" borderId="10" xfId="0" applyFont="1" applyBorder="1" applyAlignment="1" applyProtection="1">
      <alignment/>
      <protection locked="0"/>
    </xf>
    <xf numFmtId="0" fontId="52" fillId="0" borderId="10" xfId="0" applyFont="1" applyBorder="1" applyAlignment="1" applyProtection="1">
      <alignment/>
      <protection locked="0"/>
    </xf>
    <xf numFmtId="0" fontId="52" fillId="0" borderId="13" xfId="0" applyFont="1" applyBorder="1" applyAlignment="1" applyProtection="1">
      <alignment/>
      <protection locked="0"/>
    </xf>
    <xf numFmtId="181" fontId="52" fillId="0" borderId="13" xfId="0" applyNumberFormat="1" applyFont="1" applyBorder="1" applyAlignment="1" applyProtection="1">
      <alignment/>
      <protection locked="0"/>
    </xf>
    <xf numFmtId="5" fontId="52" fillId="0" borderId="37" xfId="42" applyNumberFormat="1" applyFont="1" applyBorder="1" applyAlignment="1" applyProtection="1">
      <alignment/>
      <protection locked="0"/>
    </xf>
    <xf numFmtId="0" fontId="50" fillId="27" borderId="11" xfId="0" applyFont="1" applyFill="1" applyBorder="1" applyAlignment="1" applyProtection="1">
      <alignment horizontal="center" wrapText="1"/>
      <protection/>
    </xf>
    <xf numFmtId="0" fontId="50" fillId="27" borderId="11" xfId="0" applyFont="1" applyFill="1" applyBorder="1" applyAlignment="1" applyProtection="1">
      <alignment horizontal="center"/>
      <protection/>
    </xf>
    <xf numFmtId="5" fontId="51" fillId="27" borderId="17" xfId="42" applyNumberFormat="1" applyFont="1" applyFill="1" applyBorder="1" applyAlignment="1" applyProtection="1">
      <alignment/>
      <protection/>
    </xf>
    <xf numFmtId="5" fontId="53" fillId="27" borderId="38" xfId="42" applyNumberFormat="1" applyFont="1" applyFill="1" applyBorder="1" applyAlignment="1" applyProtection="1">
      <alignment/>
      <protection/>
    </xf>
    <xf numFmtId="0" fontId="50" fillId="27" borderId="11" xfId="0" applyFont="1" applyFill="1" applyBorder="1" applyAlignment="1" applyProtection="1">
      <alignment/>
      <protection/>
    </xf>
    <xf numFmtId="167" fontId="52" fillId="27" borderId="11" xfId="42" applyNumberFormat="1" applyFont="1" applyFill="1" applyBorder="1" applyAlignment="1" applyProtection="1">
      <alignment/>
      <protection/>
    </xf>
    <xf numFmtId="5" fontId="65" fillId="27" borderId="11" xfId="0" applyNumberFormat="1" applyFont="1" applyFill="1" applyBorder="1" applyAlignment="1" applyProtection="1">
      <alignment/>
      <protection/>
    </xf>
    <xf numFmtId="39" fontId="52" fillId="0" borderId="17" xfId="0" applyNumberFormat="1" applyFont="1" applyBorder="1" applyAlignment="1" applyProtection="1">
      <alignment/>
      <protection locked="0"/>
    </xf>
    <xf numFmtId="39" fontId="52" fillId="0" borderId="10" xfId="0" applyNumberFormat="1" applyFont="1" applyBorder="1" applyAlignment="1" applyProtection="1">
      <alignment/>
      <protection locked="0"/>
    </xf>
    <xf numFmtId="39" fontId="52" fillId="0" borderId="39" xfId="0" applyNumberFormat="1" applyFont="1" applyBorder="1" applyAlignment="1" applyProtection="1">
      <alignment/>
      <protection locked="0"/>
    </xf>
    <xf numFmtId="0" fontId="50" fillId="27" borderId="12" xfId="0" applyFont="1" applyFill="1" applyBorder="1" applyAlignment="1" applyProtection="1">
      <alignment horizontal="center" wrapText="1"/>
      <protection/>
    </xf>
    <xf numFmtId="0" fontId="50" fillId="27" borderId="12" xfId="0" applyFont="1" applyFill="1" applyBorder="1" applyAlignment="1" applyProtection="1">
      <alignment horizontal="center"/>
      <protection/>
    </xf>
    <xf numFmtId="10" fontId="66" fillId="27" borderId="19" xfId="0" applyNumberFormat="1" applyFont="1" applyFill="1" applyBorder="1" applyAlignment="1" applyProtection="1">
      <alignment/>
      <protection/>
    </xf>
    <xf numFmtId="10" fontId="66" fillId="27" borderId="11" xfId="0" applyNumberFormat="1" applyFont="1" applyFill="1" applyBorder="1" applyAlignment="1" applyProtection="1">
      <alignment/>
      <protection/>
    </xf>
    <xf numFmtId="5" fontId="0" fillId="27" borderId="17" xfId="0" applyNumberFormat="1" applyFont="1" applyFill="1" applyBorder="1" applyAlignment="1" applyProtection="1">
      <alignment/>
      <protection/>
    </xf>
    <xf numFmtId="165" fontId="0" fillId="27" borderId="17" xfId="0" applyNumberFormat="1" applyFont="1" applyFill="1" applyBorder="1" applyAlignment="1" applyProtection="1">
      <alignment/>
      <protection/>
    </xf>
    <xf numFmtId="165" fontId="0" fillId="27" borderId="25" xfId="0" applyNumberFormat="1" applyFont="1" applyFill="1" applyBorder="1" applyAlignment="1" applyProtection="1">
      <alignment/>
      <protection/>
    </xf>
    <xf numFmtId="0" fontId="53" fillId="27" borderId="11" xfId="0" applyFont="1" applyFill="1" applyBorder="1" applyAlignment="1" applyProtection="1">
      <alignment/>
      <protection/>
    </xf>
    <xf numFmtId="39" fontId="53" fillId="27" borderId="11" xfId="0" applyNumberFormat="1" applyFont="1" applyFill="1" applyBorder="1" applyAlignment="1" applyProtection="1">
      <alignment/>
      <protection/>
    </xf>
    <xf numFmtId="5" fontId="0" fillId="27" borderId="10" xfId="0" applyNumberFormat="1" applyFont="1" applyFill="1" applyBorder="1" applyAlignment="1" applyProtection="1">
      <alignment/>
      <protection/>
    </xf>
    <xf numFmtId="39" fontId="53" fillId="27" borderId="39" xfId="0" applyNumberFormat="1" applyFont="1" applyFill="1" applyBorder="1" applyAlignment="1" applyProtection="1">
      <alignment/>
      <protection/>
    </xf>
    <xf numFmtId="167" fontId="52" fillId="27" borderId="36" xfId="42" applyNumberFormat="1" applyFont="1" applyFill="1" applyBorder="1" applyAlignment="1" applyProtection="1">
      <alignment/>
      <protection/>
    </xf>
    <xf numFmtId="0" fontId="65" fillId="27" borderId="11" xfId="0" applyFont="1" applyFill="1" applyBorder="1" applyAlignment="1" applyProtection="1">
      <alignment/>
      <protection/>
    </xf>
    <xf numFmtId="0" fontId="65" fillId="27" borderId="11" xfId="0" applyFont="1" applyFill="1" applyBorder="1" applyAlignment="1" applyProtection="1">
      <alignment horizontal="center"/>
      <protection/>
    </xf>
    <xf numFmtId="0" fontId="0" fillId="27" borderId="29" xfId="0" applyFill="1" applyBorder="1" applyAlignment="1" applyProtection="1">
      <alignment/>
      <protection/>
    </xf>
    <xf numFmtId="0" fontId="0" fillId="27" borderId="37" xfId="0" applyFill="1" applyBorder="1" applyAlignment="1" applyProtection="1">
      <alignment/>
      <protection/>
    </xf>
    <xf numFmtId="0" fontId="65" fillId="27" borderId="11" xfId="0" applyFont="1" applyFill="1" applyBorder="1" applyAlignment="1" applyProtection="1" quotePrefix="1">
      <alignment/>
      <protection/>
    </xf>
    <xf numFmtId="39" fontId="65" fillId="27" borderId="11" xfId="0" applyNumberFormat="1" applyFont="1" applyFill="1" applyBorder="1" applyAlignment="1" applyProtection="1">
      <alignment/>
      <protection/>
    </xf>
    <xf numFmtId="10" fontId="0" fillId="0" borderId="11" xfId="0" applyNumberFormat="1" applyBorder="1" applyAlignment="1" applyProtection="1">
      <alignment/>
      <protection locked="0"/>
    </xf>
    <xf numFmtId="10" fontId="0" fillId="26" borderId="11" xfId="0" applyNumberFormat="1" applyFill="1" applyBorder="1" applyAlignment="1" applyProtection="1">
      <alignment/>
      <protection locked="0"/>
    </xf>
    <xf numFmtId="0" fontId="0" fillId="27" borderId="11" xfId="0" applyFont="1" applyFill="1" applyBorder="1" applyAlignment="1" applyProtection="1">
      <alignment wrapText="1"/>
      <protection/>
    </xf>
    <xf numFmtId="0" fontId="0" fillId="0" borderId="0" xfId="0" applyFont="1" applyAlignment="1" applyProtection="1">
      <alignment/>
      <protection/>
    </xf>
    <xf numFmtId="39" fontId="27" fillId="28" borderId="11" xfId="0" applyNumberFormat="1" applyFont="1" applyFill="1" applyBorder="1" applyAlignment="1" applyProtection="1">
      <alignment horizontal="center"/>
      <protection/>
    </xf>
    <xf numFmtId="0" fontId="0" fillId="20" borderId="32" xfId="0" applyFill="1" applyBorder="1" applyAlignment="1" applyProtection="1">
      <alignment horizontal="center" wrapText="1"/>
      <protection/>
    </xf>
    <xf numFmtId="5" fontId="27" fillId="26" borderId="32" xfId="42" applyNumberFormat="1" applyFont="1" applyFill="1" applyBorder="1" applyAlignment="1" applyProtection="1">
      <alignment horizontal="center"/>
      <protection/>
    </xf>
    <xf numFmtId="5" fontId="27" fillId="26" borderId="21" xfId="42" applyNumberFormat="1" applyFont="1" applyFill="1" applyBorder="1" applyAlignment="1" applyProtection="1">
      <alignment horizontal="center"/>
      <protection/>
    </xf>
    <xf numFmtId="5" fontId="27" fillId="26" borderId="33" xfId="42" applyNumberFormat="1" applyFont="1" applyFill="1" applyBorder="1" applyAlignment="1" applyProtection="1">
      <alignment horizontal="center"/>
      <protection/>
    </xf>
    <xf numFmtId="0" fontId="22" fillId="26" borderId="11" xfId="0" applyFont="1" applyFill="1" applyBorder="1" applyAlignment="1">
      <alignment vertical="top" wrapText="1"/>
    </xf>
    <xf numFmtId="0" fontId="0" fillId="0" borderId="11" xfId="0" applyBorder="1" applyAlignment="1">
      <alignment/>
    </xf>
    <xf numFmtId="0" fontId="22" fillId="0" borderId="11" xfId="0" applyFont="1" applyBorder="1" applyAlignment="1">
      <alignment/>
    </xf>
    <xf numFmtId="0" fontId="27" fillId="27" borderId="11" xfId="0" applyFont="1" applyFill="1" applyBorder="1" applyAlignment="1" applyProtection="1">
      <alignment horizontal="left" wrapText="1"/>
      <protection/>
    </xf>
    <xf numFmtId="0" fontId="30" fillId="28" borderId="10" xfId="61" applyFont="1" applyFill="1" applyBorder="1" applyAlignment="1" applyProtection="1">
      <alignment horizontal="left" vertical="top" wrapText="1"/>
      <protection/>
    </xf>
    <xf numFmtId="179" fontId="27" fillId="27" borderId="11" xfId="0" applyNumberFormat="1" applyFont="1" applyFill="1" applyBorder="1" applyAlignment="1" applyProtection="1">
      <alignment horizontal="center"/>
      <protection/>
    </xf>
    <xf numFmtId="0" fontId="27" fillId="0" borderId="0" xfId="0" applyFont="1" applyFill="1" applyAlignment="1" applyProtection="1">
      <alignment horizontal="center"/>
      <protection/>
    </xf>
    <xf numFmtId="9" fontId="27" fillId="0" borderId="10" xfId="0" applyNumberFormat="1" applyFont="1" applyFill="1" applyBorder="1" applyAlignment="1" applyProtection="1">
      <alignment horizontal="center"/>
      <protection/>
    </xf>
    <xf numFmtId="0" fontId="51" fillId="0" borderId="17" xfId="0" applyFont="1" applyBorder="1" applyAlignment="1" applyProtection="1">
      <alignment/>
      <protection/>
    </xf>
    <xf numFmtId="0" fontId="51" fillId="0" borderId="17" xfId="0" applyFont="1" applyBorder="1" applyAlignment="1" applyProtection="1">
      <alignment/>
      <protection/>
    </xf>
    <xf numFmtId="0" fontId="0" fillId="0" borderId="0" xfId="0" applyFont="1" applyAlignment="1" applyProtection="1">
      <alignment horizontal="left"/>
      <protection/>
    </xf>
    <xf numFmtId="5" fontId="0" fillId="0" borderId="0" xfId="0" applyNumberFormat="1" applyFont="1" applyAlignment="1" applyProtection="1">
      <alignment/>
      <protection/>
    </xf>
    <xf numFmtId="0" fontId="27" fillId="26" borderId="0" xfId="0" applyFont="1" applyFill="1" applyBorder="1" applyAlignment="1" applyProtection="1">
      <alignment horizontal="left"/>
      <protection/>
    </xf>
    <xf numFmtId="0" fontId="0" fillId="26" borderId="0" xfId="0" applyFill="1" applyBorder="1" applyAlignment="1" applyProtection="1">
      <alignment horizontal="center"/>
      <protection/>
    </xf>
    <xf numFmtId="0" fontId="26" fillId="26" borderId="0" xfId="0" applyFont="1" applyFill="1" applyBorder="1" applyAlignment="1" applyProtection="1">
      <alignment horizontal="left"/>
      <protection/>
    </xf>
    <xf numFmtId="0" fontId="26" fillId="26" borderId="0" xfId="0" applyFont="1" applyFill="1" applyBorder="1" applyAlignment="1" applyProtection="1" quotePrefix="1">
      <alignment horizontal="left"/>
      <protection/>
    </xf>
    <xf numFmtId="0" fontId="26" fillId="26" borderId="40" xfId="0" applyFont="1" applyFill="1" applyBorder="1" applyAlignment="1" applyProtection="1" quotePrefix="1">
      <alignment horizontal="left"/>
      <protection/>
    </xf>
    <xf numFmtId="0" fontId="21" fillId="0" borderId="14" xfId="0" applyFont="1" applyFill="1" applyBorder="1" applyAlignment="1" applyProtection="1">
      <alignment/>
      <protection/>
    </xf>
    <xf numFmtId="0" fontId="27" fillId="33" borderId="26" xfId="0" applyFont="1" applyFill="1" applyBorder="1" applyAlignment="1" applyProtection="1">
      <alignment/>
      <protection/>
    </xf>
    <xf numFmtId="0" fontId="26" fillId="26" borderId="40" xfId="0" applyFont="1" applyFill="1" applyBorder="1" applyAlignment="1" applyProtection="1">
      <alignment horizontal="left"/>
      <protection/>
    </xf>
    <xf numFmtId="0" fontId="32" fillId="0" borderId="0" xfId="0" applyFont="1" applyFill="1" applyBorder="1" applyAlignment="1" applyProtection="1">
      <alignment horizontal="left" indent="2"/>
      <protection/>
    </xf>
    <xf numFmtId="0" fontId="32" fillId="0" borderId="0" xfId="0" applyFont="1" applyFill="1" applyBorder="1" applyAlignment="1" applyProtection="1">
      <alignment horizontal="center"/>
      <protection/>
    </xf>
    <xf numFmtId="0" fontId="31" fillId="0" borderId="0" xfId="0" applyFont="1" applyFill="1" applyBorder="1" applyAlignment="1" applyProtection="1">
      <alignment horizontal="left" indent="2"/>
      <protection/>
    </xf>
    <xf numFmtId="0" fontId="31" fillId="26" borderId="0" xfId="0" applyFont="1" applyFill="1" applyBorder="1" applyAlignment="1" applyProtection="1">
      <alignment horizontal="left" indent="2"/>
      <protection/>
    </xf>
    <xf numFmtId="0" fontId="25" fillId="0" borderId="0" xfId="0" applyFont="1" applyAlignment="1" applyProtection="1">
      <alignment/>
      <protection/>
    </xf>
    <xf numFmtId="0" fontId="25" fillId="26" borderId="0" xfId="0" applyFont="1" applyFill="1" applyAlignment="1" applyProtection="1">
      <alignment/>
      <protection/>
    </xf>
    <xf numFmtId="0" fontId="32" fillId="0" borderId="0" xfId="0" applyNumberFormat="1" applyFont="1" applyFill="1" applyBorder="1" applyAlignment="1" applyProtection="1">
      <alignment horizontal="left" indent="2"/>
      <protection/>
    </xf>
    <xf numFmtId="0" fontId="32" fillId="0" borderId="0" xfId="0" applyNumberFormat="1" applyFont="1" applyFill="1" applyBorder="1" applyAlignment="1" applyProtection="1">
      <alignment horizontal="center"/>
      <protection/>
    </xf>
    <xf numFmtId="14" fontId="31" fillId="0" borderId="0" xfId="0" applyNumberFormat="1" applyFont="1" applyFill="1" applyBorder="1" applyAlignment="1" applyProtection="1">
      <alignment horizontal="left" indent="2"/>
      <protection/>
    </xf>
    <xf numFmtId="14" fontId="31" fillId="26" borderId="0" xfId="0" applyNumberFormat="1" applyFont="1" applyFill="1" applyBorder="1" applyAlignment="1" applyProtection="1">
      <alignment horizontal="left" indent="2"/>
      <protection/>
    </xf>
    <xf numFmtId="0" fontId="33" fillId="26" borderId="0" xfId="0" applyFont="1" applyFill="1" applyBorder="1" applyAlignment="1" applyProtection="1">
      <alignment vertical="center" wrapText="1"/>
      <protection/>
    </xf>
    <xf numFmtId="0" fontId="33"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vertical="center" wrapText="1"/>
      <protection/>
    </xf>
    <xf numFmtId="164" fontId="32" fillId="26" borderId="0" xfId="0" applyNumberFormat="1" applyFont="1" applyFill="1" applyBorder="1" applyAlignment="1" applyProtection="1">
      <alignment horizontal="left" indent="2"/>
      <protection/>
    </xf>
    <xf numFmtId="164" fontId="23" fillId="0" borderId="0" xfId="0" applyNumberFormat="1" applyFont="1" applyFill="1" applyBorder="1" applyAlignment="1" applyProtection="1">
      <alignment horizontal="left" indent="2"/>
      <protection/>
    </xf>
    <xf numFmtId="164" fontId="23" fillId="0" borderId="0" xfId="0" applyNumberFormat="1" applyFont="1" applyFill="1" applyBorder="1" applyAlignment="1" applyProtection="1">
      <alignment horizontal="center"/>
      <protection/>
    </xf>
    <xf numFmtId="14" fontId="24" fillId="0" borderId="0" xfId="0" applyNumberFormat="1" applyFont="1" applyFill="1" applyBorder="1" applyAlignment="1" applyProtection="1">
      <alignment horizontal="left" indent="2"/>
      <protection/>
    </xf>
    <xf numFmtId="165" fontId="24" fillId="0" borderId="0" xfId="0" applyNumberFormat="1" applyFont="1" applyFill="1" applyBorder="1" applyAlignment="1" applyProtection="1">
      <alignment horizontal="left" indent="2"/>
      <protection/>
    </xf>
    <xf numFmtId="14" fontId="24" fillId="26" borderId="0" xfId="0" applyNumberFormat="1" applyFont="1" applyFill="1" applyBorder="1" applyAlignment="1" applyProtection="1">
      <alignment horizontal="left" indent="2"/>
      <protection/>
    </xf>
    <xf numFmtId="0" fontId="29" fillId="0" borderId="0" xfId="0" applyFont="1" applyAlignment="1" applyProtection="1">
      <alignment/>
      <protection/>
    </xf>
    <xf numFmtId="0" fontId="29" fillId="26" borderId="0" xfId="0" applyFont="1" applyFill="1" applyAlignment="1" applyProtection="1">
      <alignment/>
      <protection/>
    </xf>
    <xf numFmtId="0" fontId="29" fillId="0" borderId="0" xfId="0" applyFont="1" applyAlignment="1" applyProtection="1">
      <alignment horizontal="center"/>
      <protection/>
    </xf>
    <xf numFmtId="166" fontId="0" fillId="0" borderId="0" xfId="0" applyNumberFormat="1" applyAlignment="1" applyProtection="1">
      <alignment/>
      <protection/>
    </xf>
    <xf numFmtId="0" fontId="38" fillId="0" borderId="0" xfId="0" applyFont="1" applyAlignment="1" applyProtection="1">
      <alignment/>
      <protection/>
    </xf>
    <xf numFmtId="0" fontId="24" fillId="0" borderId="0" xfId="0" applyFont="1" applyAlignment="1" applyProtection="1">
      <alignment/>
      <protection/>
    </xf>
    <xf numFmtId="0" fontId="37" fillId="27" borderId="15" xfId="0" applyFont="1" applyFill="1" applyBorder="1" applyAlignment="1" applyProtection="1">
      <alignment horizontal="center"/>
      <protection/>
    </xf>
    <xf numFmtId="0" fontId="38" fillId="26" borderId="0" xfId="0" applyFont="1" applyFill="1" applyAlignment="1" applyProtection="1">
      <alignment horizontal="center"/>
      <protection/>
    </xf>
    <xf numFmtId="0" fontId="38" fillId="26" borderId="0" xfId="0" applyFont="1" applyFill="1" applyAlignment="1" applyProtection="1">
      <alignment/>
      <protection/>
    </xf>
    <xf numFmtId="165" fontId="30" fillId="0" borderId="0" xfId="0" applyNumberFormat="1" applyFont="1" applyAlignment="1" applyProtection="1">
      <alignment horizontal="left" indent="1"/>
      <protection/>
    </xf>
    <xf numFmtId="0" fontId="30" fillId="0" borderId="0" xfId="0" applyFont="1" applyAlignment="1" applyProtection="1">
      <alignment horizontal="left" indent="1"/>
      <protection/>
    </xf>
    <xf numFmtId="165" fontId="30" fillId="0" borderId="0" xfId="0" applyNumberFormat="1" applyFont="1" applyAlignment="1" applyProtection="1">
      <alignment horizontal="center"/>
      <protection/>
    </xf>
    <xf numFmtId="165" fontId="30" fillId="0" borderId="0" xfId="0" applyNumberFormat="1" applyFont="1" applyAlignment="1" applyProtection="1">
      <alignment horizontal="left" wrapText="1" indent="1"/>
      <protection/>
    </xf>
    <xf numFmtId="165" fontId="33" fillId="0" borderId="0" xfId="0" applyNumberFormat="1" applyFont="1" applyAlignment="1" applyProtection="1">
      <alignment horizontal="left" indent="1"/>
      <protection/>
    </xf>
    <xf numFmtId="0" fontId="33" fillId="27" borderId="11" xfId="0" applyFont="1" applyFill="1" applyBorder="1" applyAlignment="1" applyProtection="1">
      <alignment horizontal="left"/>
      <protection/>
    </xf>
    <xf numFmtId="165" fontId="33" fillId="0" borderId="0" xfId="61" applyNumberFormat="1" applyFont="1" applyAlignment="1" applyProtection="1">
      <alignment horizontal="left" indent="1"/>
      <protection/>
    </xf>
    <xf numFmtId="165" fontId="35" fillId="0" borderId="0" xfId="61" applyNumberFormat="1" applyFont="1" applyAlignment="1" applyProtection="1">
      <alignment horizontal="left" indent="2"/>
      <protection/>
    </xf>
    <xf numFmtId="0" fontId="35" fillId="0" borderId="0" xfId="61" applyFont="1" applyAlignment="1" applyProtection="1">
      <alignment horizontal="left" indent="2"/>
      <protection/>
    </xf>
    <xf numFmtId="165" fontId="35" fillId="0" borderId="0" xfId="61" applyNumberFormat="1" applyFont="1" applyAlignment="1" applyProtection="1">
      <alignment horizontal="center"/>
      <protection/>
    </xf>
    <xf numFmtId="165" fontId="33" fillId="0" borderId="0" xfId="61" applyNumberFormat="1" applyFont="1" applyAlignment="1" applyProtection="1">
      <alignment horizontal="center"/>
      <protection/>
    </xf>
    <xf numFmtId="0" fontId="30" fillId="0" borderId="0" xfId="61" applyFont="1" applyAlignment="1" applyProtection="1">
      <alignment horizontal="left" indent="1"/>
      <protection/>
    </xf>
    <xf numFmtId="165" fontId="30" fillId="0" borderId="0" xfId="61" applyNumberFormat="1" applyFont="1" applyAlignment="1" applyProtection="1">
      <alignment horizontal="left" indent="1"/>
      <protection/>
    </xf>
    <xf numFmtId="165" fontId="30" fillId="0" borderId="0" xfId="61" applyNumberFormat="1" applyFont="1" applyAlignment="1" applyProtection="1">
      <alignment horizontal="center"/>
      <protection/>
    </xf>
    <xf numFmtId="165" fontId="30" fillId="0" borderId="0" xfId="61" applyNumberFormat="1" applyFont="1" applyAlignment="1" applyProtection="1">
      <alignment horizontal="left" indent="2"/>
      <protection/>
    </xf>
    <xf numFmtId="0" fontId="33" fillId="0" borderId="0" xfId="61" applyFont="1" applyAlignment="1" applyProtection="1">
      <alignment horizontal="left" indent="1"/>
      <protection/>
    </xf>
    <xf numFmtId="0" fontId="30" fillId="0" borderId="0" xfId="61" applyFont="1" applyBorder="1" applyAlignment="1" applyProtection="1">
      <alignment horizontal="left" indent="1"/>
      <protection/>
    </xf>
    <xf numFmtId="165" fontId="30" fillId="0" borderId="0" xfId="61" applyNumberFormat="1" applyFont="1" applyBorder="1" applyAlignment="1" applyProtection="1">
      <alignment horizontal="left" indent="1"/>
      <protection/>
    </xf>
    <xf numFmtId="165" fontId="30" fillId="0" borderId="0" xfId="61" applyNumberFormat="1" applyFont="1" applyBorder="1" applyAlignment="1" applyProtection="1">
      <alignment horizontal="center"/>
      <protection/>
    </xf>
    <xf numFmtId="165" fontId="33" fillId="27" borderId="11" xfId="0" applyNumberFormat="1" applyFont="1" applyFill="1" applyBorder="1" applyAlignment="1" applyProtection="1">
      <alignment horizontal="left" wrapText="1" indent="1"/>
      <protection/>
    </xf>
    <xf numFmtId="165" fontId="33" fillId="0" borderId="11" xfId="0" applyNumberFormat="1" applyFont="1" applyBorder="1" applyAlignment="1" applyProtection="1">
      <alignment/>
      <protection/>
    </xf>
    <xf numFmtId="165" fontId="30" fillId="0" borderId="0" xfId="0" applyNumberFormat="1" applyFont="1" applyBorder="1" applyAlignment="1" applyProtection="1">
      <alignment horizontal="left" indent="1"/>
      <protection/>
    </xf>
    <xf numFmtId="165" fontId="30" fillId="0" borderId="0" xfId="0" applyNumberFormat="1" applyFont="1" applyBorder="1" applyAlignment="1" applyProtection="1">
      <alignment horizontal="center"/>
      <protection/>
    </xf>
    <xf numFmtId="0" fontId="30" fillId="0" borderId="0" xfId="0" applyFont="1" applyBorder="1" applyAlignment="1" applyProtection="1">
      <alignment horizontal="left" indent="1"/>
      <protection/>
    </xf>
    <xf numFmtId="165" fontId="30" fillId="0" borderId="0" xfId="0" applyNumberFormat="1" applyFont="1" applyBorder="1" applyAlignment="1" applyProtection="1">
      <alignment horizontal="right"/>
      <protection/>
    </xf>
    <xf numFmtId="165" fontId="30" fillId="0" borderId="0" xfId="0" applyNumberFormat="1" applyFont="1" applyBorder="1" applyAlignment="1" applyProtection="1">
      <alignment horizontal="left"/>
      <protection/>
    </xf>
    <xf numFmtId="165" fontId="33" fillId="0" borderId="0" xfId="0" applyNumberFormat="1" applyFont="1" applyBorder="1" applyAlignment="1" applyProtection="1">
      <alignment horizontal="left" indent="1"/>
      <protection/>
    </xf>
    <xf numFmtId="165" fontId="33" fillId="0" borderId="0" xfId="0" applyNumberFormat="1" applyFont="1" applyBorder="1" applyAlignment="1" applyProtection="1">
      <alignment horizontal="center"/>
      <protection/>
    </xf>
    <xf numFmtId="0" fontId="33" fillId="27" borderId="11" xfId="0" applyFont="1" applyFill="1" applyBorder="1" applyAlignment="1" applyProtection="1">
      <alignment horizontal="left" indent="1"/>
      <protection/>
    </xf>
    <xf numFmtId="165" fontId="30" fillId="0" borderId="0" xfId="0" applyNumberFormat="1" applyFont="1" applyBorder="1" applyAlignment="1" applyProtection="1">
      <alignment/>
      <protection/>
    </xf>
    <xf numFmtId="0" fontId="30" fillId="0" borderId="0" xfId="0" applyFont="1" applyBorder="1" applyAlignment="1" applyProtection="1">
      <alignment/>
      <protection/>
    </xf>
    <xf numFmtId="165" fontId="30" fillId="0" borderId="0" xfId="0" applyNumberFormat="1" applyFont="1" applyBorder="1" applyAlignment="1" applyProtection="1">
      <alignment horizontal="left" wrapText="1" indent="1"/>
      <protection/>
    </xf>
    <xf numFmtId="165" fontId="33" fillId="27" borderId="11" xfId="0" applyNumberFormat="1" applyFont="1" applyFill="1" applyBorder="1" applyAlignment="1" applyProtection="1">
      <alignment wrapText="1"/>
      <protection/>
    </xf>
    <xf numFmtId="165" fontId="33" fillId="27" borderId="11" xfId="0" applyNumberFormat="1" applyFont="1" applyFill="1" applyBorder="1" applyAlignment="1" applyProtection="1" quotePrefix="1">
      <alignment wrapText="1"/>
      <protection/>
    </xf>
    <xf numFmtId="0" fontId="33" fillId="0" borderId="0" xfId="0" applyFont="1" applyAlignment="1" applyProtection="1">
      <alignment horizontal="center"/>
      <protection/>
    </xf>
    <xf numFmtId="0" fontId="27" fillId="26" borderId="0" xfId="0" applyFont="1" applyFill="1" applyBorder="1" applyAlignment="1" applyProtection="1">
      <alignment/>
      <protection/>
    </xf>
    <xf numFmtId="0" fontId="0" fillId="26" borderId="0" xfId="0" applyFill="1" applyBorder="1" applyAlignment="1" applyProtection="1">
      <alignment/>
      <protection/>
    </xf>
    <xf numFmtId="0" fontId="0" fillId="30" borderId="11" xfId="0" applyFill="1" applyBorder="1" applyAlignment="1" applyProtection="1">
      <alignment/>
      <protection/>
    </xf>
    <xf numFmtId="165" fontId="35" fillId="28" borderId="11" xfId="61" applyNumberFormat="1" applyFont="1" applyFill="1" applyBorder="1" applyAlignment="1" applyProtection="1">
      <alignment horizontal="center"/>
      <protection locked="0"/>
    </xf>
    <xf numFmtId="5" fontId="35" fillId="28" borderId="11" xfId="61" applyNumberFormat="1" applyFont="1" applyFill="1" applyBorder="1" applyAlignment="1" applyProtection="1">
      <alignment horizontal="center"/>
      <protection locked="0"/>
    </xf>
    <xf numFmtId="169" fontId="35" fillId="28" borderId="11" xfId="61" applyNumberFormat="1" applyFont="1" applyFill="1" applyBorder="1" applyAlignment="1" applyProtection="1">
      <alignment horizontal="center"/>
      <protection locked="0"/>
    </xf>
    <xf numFmtId="0" fontId="28" fillId="28" borderId="11" xfId="0" applyFont="1" applyFill="1" applyBorder="1" applyAlignment="1" applyProtection="1">
      <alignment horizontal="left" vertical="top"/>
      <protection/>
    </xf>
    <xf numFmtId="0" fontId="27" fillId="0" borderId="0" xfId="0" applyFont="1" applyBorder="1" applyAlignment="1" applyProtection="1">
      <alignment/>
      <protection/>
    </xf>
    <xf numFmtId="0" fontId="21" fillId="0" borderId="0" xfId="0" applyFont="1" applyAlignment="1" applyProtection="1">
      <alignment/>
      <protection/>
    </xf>
    <xf numFmtId="0" fontId="21" fillId="0" borderId="0" xfId="0" applyFont="1" applyAlignment="1" applyProtection="1">
      <alignment horizontal="center"/>
      <protection/>
    </xf>
    <xf numFmtId="0" fontId="27" fillId="0" borderId="0" xfId="0" applyFont="1" applyBorder="1" applyAlignment="1" applyProtection="1">
      <alignment horizontal="center"/>
      <protection/>
    </xf>
    <xf numFmtId="5" fontId="27" fillId="27" borderId="11" xfId="0" applyNumberFormat="1" applyFont="1" applyFill="1" applyBorder="1" applyAlignment="1" applyProtection="1">
      <alignment horizontal="center"/>
      <protection/>
    </xf>
    <xf numFmtId="0" fontId="27" fillId="0" borderId="11" xfId="0" applyFont="1" applyBorder="1" applyAlignment="1" applyProtection="1">
      <alignment horizontal="center"/>
      <protection/>
    </xf>
    <xf numFmtId="0" fontId="27" fillId="0" borderId="10" xfId="0" applyFont="1" applyBorder="1" applyAlignment="1" applyProtection="1">
      <alignment horizontal="center"/>
      <protection/>
    </xf>
    <xf numFmtId="5" fontId="27" fillId="28" borderId="10" xfId="0" applyNumberFormat="1" applyFont="1" applyFill="1" applyBorder="1" applyAlignment="1" applyProtection="1">
      <alignment horizontal="center"/>
      <protection/>
    </xf>
    <xf numFmtId="5" fontId="27" fillId="0" borderId="10" xfId="0" applyNumberFormat="1" applyFont="1" applyBorder="1" applyAlignment="1" applyProtection="1">
      <alignment horizontal="center"/>
      <protection/>
    </xf>
    <xf numFmtId="5" fontId="27" fillId="0" borderId="11" xfId="0" applyNumberFormat="1" applyFont="1" applyBorder="1" applyAlignment="1" applyProtection="1">
      <alignment horizontal="center"/>
      <protection/>
    </xf>
    <xf numFmtId="37" fontId="27" fillId="0" borderId="10" xfId="0" applyNumberFormat="1" applyFont="1" applyBorder="1" applyAlignment="1" applyProtection="1">
      <alignment horizontal="center"/>
      <protection/>
    </xf>
    <xf numFmtId="5" fontId="27" fillId="0" borderId="0" xfId="0" applyNumberFormat="1" applyFont="1" applyBorder="1" applyAlignment="1" applyProtection="1">
      <alignment horizontal="center"/>
      <protection/>
    </xf>
    <xf numFmtId="0" fontId="27" fillId="0" borderId="12" xfId="0" applyFont="1" applyBorder="1" applyAlignment="1" applyProtection="1">
      <alignment horizontal="center"/>
      <protection/>
    </xf>
    <xf numFmtId="0" fontId="27" fillId="26" borderId="0" xfId="0" applyFont="1" applyFill="1" applyBorder="1" applyAlignment="1" applyProtection="1">
      <alignment horizontal="center"/>
      <protection/>
    </xf>
    <xf numFmtId="0" fontId="27" fillId="26" borderId="33" xfId="0" applyFont="1" applyFill="1" applyBorder="1" applyAlignment="1" applyProtection="1">
      <alignment horizontal="center"/>
      <protection/>
    </xf>
    <xf numFmtId="167" fontId="27" fillId="26" borderId="10" xfId="42" applyNumberFormat="1" applyFont="1" applyFill="1" applyBorder="1" applyAlignment="1" applyProtection="1">
      <alignment horizontal="center"/>
      <protection/>
    </xf>
    <xf numFmtId="167" fontId="27" fillId="24" borderId="39" xfId="42" applyNumberFormat="1" applyFont="1" applyFill="1" applyBorder="1" applyAlignment="1" applyProtection="1">
      <alignment horizontal="center"/>
      <protection/>
    </xf>
    <xf numFmtId="167" fontId="0" fillId="24" borderId="0" xfId="42" applyNumberFormat="1" applyFont="1" applyFill="1" applyBorder="1" applyAlignment="1" applyProtection="1">
      <alignment horizontal="center"/>
      <protection/>
    </xf>
    <xf numFmtId="167" fontId="0" fillId="24" borderId="33" xfId="42" applyNumberFormat="1" applyFont="1" applyFill="1" applyBorder="1" applyAlignment="1" applyProtection="1">
      <alignment horizontal="center"/>
      <protection/>
    </xf>
    <xf numFmtId="0" fontId="0" fillId="0" borderId="0" xfId="0" applyFill="1" applyBorder="1" applyAlignment="1" applyProtection="1">
      <alignment horizontal="center"/>
      <protection/>
    </xf>
    <xf numFmtId="0" fontId="0" fillId="0" borderId="0" xfId="0" applyBorder="1" applyAlignment="1" applyProtection="1">
      <alignment horizontal="center"/>
      <protection/>
    </xf>
    <xf numFmtId="0" fontId="0" fillId="0" borderId="33" xfId="0" applyBorder="1" applyAlignment="1" applyProtection="1">
      <alignment horizontal="center"/>
      <protection/>
    </xf>
    <xf numFmtId="5" fontId="27" fillId="24" borderId="10" xfId="42" applyNumberFormat="1" applyFont="1" applyFill="1" applyBorder="1" applyAlignment="1" applyProtection="1">
      <alignment horizontal="center"/>
      <protection/>
    </xf>
    <xf numFmtId="5" fontId="27" fillId="24" borderId="41" xfId="42" applyNumberFormat="1" applyFont="1" applyFill="1" applyBorder="1" applyAlignment="1" applyProtection="1">
      <alignment horizontal="center"/>
      <protection/>
    </xf>
    <xf numFmtId="5" fontId="27" fillId="24" borderId="39" xfId="42" applyNumberFormat="1" applyFont="1" applyFill="1" applyBorder="1" applyAlignment="1" applyProtection="1">
      <alignment horizontal="center"/>
      <protection/>
    </xf>
    <xf numFmtId="5" fontId="27" fillId="0" borderId="33" xfId="0" applyNumberFormat="1" applyFont="1" applyBorder="1" applyAlignment="1" applyProtection="1">
      <alignment horizontal="center"/>
      <protection/>
    </xf>
    <xf numFmtId="5" fontId="27" fillId="24" borderId="42" xfId="42" applyNumberFormat="1" applyFont="1" applyFill="1" applyBorder="1" applyAlignment="1" applyProtection="1">
      <alignment horizontal="center"/>
      <protection/>
    </xf>
    <xf numFmtId="0" fontId="27" fillId="26" borderId="0" xfId="0" applyFont="1" applyFill="1" applyAlignment="1" applyProtection="1">
      <alignment horizontal="center"/>
      <protection/>
    </xf>
    <xf numFmtId="0" fontId="27" fillId="25" borderId="11" xfId="0" applyFont="1" applyFill="1" applyBorder="1" applyAlignment="1" applyProtection="1">
      <alignment horizontal="center"/>
      <protection/>
    </xf>
    <xf numFmtId="0" fontId="27" fillId="0" borderId="0" xfId="0" applyFont="1" applyBorder="1" applyAlignment="1" applyProtection="1" quotePrefix="1">
      <alignment horizontal="center"/>
      <protection/>
    </xf>
    <xf numFmtId="9" fontId="27" fillId="0" borderId="10" xfId="0" applyNumberFormat="1" applyFont="1" applyFill="1" applyBorder="1" applyAlignment="1" applyProtection="1">
      <alignment horizontal="center"/>
      <protection locked="0"/>
    </xf>
    <xf numFmtId="167" fontId="27" fillId="26" borderId="10" xfId="42" applyNumberFormat="1" applyFont="1" applyFill="1" applyBorder="1" applyAlignment="1" applyProtection="1" quotePrefix="1">
      <alignment horizontal="center"/>
      <protection locked="0"/>
    </xf>
    <xf numFmtId="0" fontId="27" fillId="0" borderId="17" xfId="0" applyFont="1" applyFill="1" applyBorder="1" applyAlignment="1" applyProtection="1">
      <alignment horizontal="center"/>
      <protection locked="0"/>
    </xf>
    <xf numFmtId="0" fontId="27" fillId="0" borderId="10" xfId="0" applyFont="1" applyFill="1" applyBorder="1" applyAlignment="1" applyProtection="1">
      <alignment horizontal="center"/>
      <protection locked="0"/>
    </xf>
    <xf numFmtId="10" fontId="66" fillId="26" borderId="11" xfId="0" applyNumberFormat="1" applyFont="1" applyFill="1" applyBorder="1" applyAlignment="1" applyProtection="1">
      <alignment/>
      <protection locked="0"/>
    </xf>
    <xf numFmtId="0" fontId="51" fillId="0" borderId="17" xfId="0" applyFont="1" applyBorder="1" applyAlignment="1" applyProtection="1">
      <alignment/>
      <protection locked="0"/>
    </xf>
    <xf numFmtId="5" fontId="27" fillId="0" borderId="0" xfId="0" applyNumberFormat="1" applyFont="1" applyFill="1" applyBorder="1" applyAlignment="1" applyProtection="1">
      <alignment horizontal="center"/>
      <protection/>
    </xf>
    <xf numFmtId="0" fontId="27" fillId="0" borderId="0" xfId="0" applyFont="1" applyFill="1" applyBorder="1" applyAlignment="1" applyProtection="1">
      <alignment horizontal="left"/>
      <protection/>
    </xf>
    <xf numFmtId="0" fontId="26" fillId="0" borderId="0" xfId="0" applyFont="1" applyFill="1" applyBorder="1" applyAlignment="1" applyProtection="1">
      <alignment horizontal="left"/>
      <protection/>
    </xf>
    <xf numFmtId="0" fontId="26" fillId="0" borderId="0" xfId="0" applyFont="1" applyFill="1" applyBorder="1" applyAlignment="1" applyProtection="1" quotePrefix="1">
      <alignment horizontal="left"/>
      <protection/>
    </xf>
    <xf numFmtId="0" fontId="0" fillId="0" borderId="0" xfId="0" applyFill="1" applyBorder="1" applyAlignment="1" applyProtection="1">
      <alignment/>
      <protection/>
    </xf>
    <xf numFmtId="0" fontId="0" fillId="34" borderId="0" xfId="0" applyFill="1" applyAlignment="1">
      <alignment/>
    </xf>
    <xf numFmtId="0" fontId="22" fillId="34" borderId="16" xfId="0" applyFont="1" applyFill="1" applyBorder="1" applyAlignment="1">
      <alignment vertical="top" wrapText="1"/>
    </xf>
    <xf numFmtId="0" fontId="0" fillId="0" borderId="0" xfId="0" applyFont="1" applyAlignment="1">
      <alignment/>
    </xf>
    <xf numFmtId="165" fontId="35" fillId="34" borderId="10" xfId="0" applyNumberFormat="1" applyFont="1" applyFill="1" applyBorder="1" applyAlignment="1" applyProtection="1">
      <alignment horizontal="left" wrapText="1" indent="1"/>
      <protection/>
    </xf>
    <xf numFmtId="0" fontId="0" fillId="0" borderId="0" xfId="0" applyFill="1" applyAlignment="1">
      <alignment/>
    </xf>
    <xf numFmtId="0" fontId="27" fillId="0" borderId="12" xfId="0" applyFont="1" applyFill="1" applyBorder="1" applyAlignment="1">
      <alignment horizontal="center"/>
    </xf>
    <xf numFmtId="0" fontId="22" fillId="0" borderId="12" xfId="0" applyFont="1" applyFill="1" applyBorder="1" applyAlignment="1">
      <alignment vertical="top" wrapText="1"/>
    </xf>
    <xf numFmtId="0" fontId="39" fillId="0" borderId="16" xfId="0" applyFont="1" applyFill="1" applyBorder="1" applyAlignment="1">
      <alignment horizontal="left" vertical="top" wrapText="1"/>
    </xf>
    <xf numFmtId="0" fontId="26" fillId="0" borderId="16" xfId="0" applyFont="1" applyFill="1" applyBorder="1" applyAlignment="1">
      <alignment horizontal="left" vertical="top" wrapText="1"/>
    </xf>
    <xf numFmtId="0" fontId="39" fillId="0" borderId="15" xfId="0" applyFont="1" applyFill="1" applyBorder="1" applyAlignment="1">
      <alignment vertical="top" wrapText="1"/>
    </xf>
    <xf numFmtId="0" fontId="26" fillId="34" borderId="15" xfId="0" applyFont="1" applyFill="1" applyBorder="1" applyAlignment="1">
      <alignment wrapText="1"/>
    </xf>
    <xf numFmtId="0" fontId="0" fillId="0" borderId="0" xfId="0" applyFill="1" applyBorder="1" applyAlignment="1">
      <alignment/>
    </xf>
    <xf numFmtId="0" fontId="27" fillId="0" borderId="16" xfId="0" applyFont="1" applyFill="1" applyBorder="1" applyAlignment="1">
      <alignment horizontal="center"/>
    </xf>
    <xf numFmtId="0" fontId="22" fillId="0" borderId="16" xfId="0" applyNumberFormat="1" applyFont="1" applyFill="1" applyBorder="1" applyAlignment="1">
      <alignment vertical="top" wrapText="1"/>
    </xf>
    <xf numFmtId="0" fontId="27" fillId="0" borderId="0" xfId="0" applyFont="1" applyAlignment="1">
      <alignment horizontal="left"/>
    </xf>
    <xf numFmtId="0" fontId="0" fillId="0" borderId="0" xfId="0" applyFill="1" applyAlignment="1" applyProtection="1">
      <alignment/>
      <protection/>
    </xf>
    <xf numFmtId="0" fontId="0" fillId="0" borderId="0" xfId="0" applyFont="1" applyFill="1" applyAlignment="1" applyProtection="1">
      <alignment horizontal="left" wrapText="1"/>
      <protection/>
    </xf>
    <xf numFmtId="0" fontId="51" fillId="0" borderId="17" xfId="0" applyFont="1" applyFill="1" applyBorder="1" applyAlignment="1" applyProtection="1">
      <alignment/>
      <protection locked="0"/>
    </xf>
    <xf numFmtId="0" fontId="30" fillId="34" borderId="10" xfId="61" applyFont="1" applyFill="1" applyBorder="1" applyAlignment="1" applyProtection="1">
      <alignment horizontal="left" indent="2"/>
      <protection/>
    </xf>
    <xf numFmtId="165" fontId="35" fillId="34" borderId="0" xfId="61" applyNumberFormat="1" applyFont="1" applyFill="1" applyAlignment="1" applyProtection="1">
      <alignment horizontal="left" indent="2"/>
      <protection/>
    </xf>
    <xf numFmtId="165" fontId="35" fillId="34" borderId="11" xfId="61" applyNumberFormat="1" applyFont="1" applyFill="1" applyBorder="1" applyAlignment="1" applyProtection="1">
      <alignment horizontal="center"/>
      <protection/>
    </xf>
    <xf numFmtId="165" fontId="35" fillId="34" borderId="11" xfId="0" applyNumberFormat="1" applyFont="1" applyFill="1" applyBorder="1" applyAlignment="1" applyProtection="1">
      <alignment horizontal="center"/>
      <protection/>
    </xf>
    <xf numFmtId="169" fontId="35" fillId="34" borderId="11" xfId="61" applyNumberFormat="1" applyFont="1" applyFill="1" applyBorder="1" applyAlignment="1" applyProtection="1">
      <alignment horizontal="center"/>
      <protection/>
    </xf>
    <xf numFmtId="165" fontId="30" fillId="34" borderId="10" xfId="0" applyNumberFormat="1" applyFont="1" applyFill="1" applyBorder="1" applyAlignment="1" applyProtection="1">
      <alignment/>
      <protection/>
    </xf>
    <xf numFmtId="165" fontId="30" fillId="34" borderId="0" xfId="61" applyNumberFormat="1" applyFont="1" applyFill="1" applyAlignment="1" applyProtection="1">
      <alignment horizontal="left"/>
      <protection/>
    </xf>
    <xf numFmtId="165" fontId="30" fillId="34" borderId="0" xfId="61" applyNumberFormat="1" applyFont="1" applyFill="1" applyAlignment="1" applyProtection="1">
      <alignment horizontal="right"/>
      <protection/>
    </xf>
    <xf numFmtId="0" fontId="30" fillId="34" borderId="0" xfId="0" applyFont="1" applyFill="1" applyAlignment="1" applyProtection="1">
      <alignment/>
      <protection/>
    </xf>
    <xf numFmtId="0" fontId="0" fillId="34" borderId="0" xfId="0" applyFill="1" applyAlignment="1" applyProtection="1">
      <alignment/>
      <protection/>
    </xf>
    <xf numFmtId="165" fontId="30" fillId="0" borderId="10" xfId="61" applyNumberFormat="1" applyFont="1" applyBorder="1" applyAlignment="1" applyProtection="1">
      <alignment horizontal="right"/>
      <protection/>
    </xf>
    <xf numFmtId="165" fontId="30" fillId="28" borderId="10" xfId="61" applyNumberFormat="1" applyFont="1" applyFill="1" applyBorder="1" applyAlignment="1" applyProtection="1">
      <alignment horizontal="right"/>
      <protection/>
    </xf>
    <xf numFmtId="165" fontId="30" fillId="26" borderId="10" xfId="0" applyNumberFormat="1" applyFont="1" applyFill="1" applyBorder="1" applyAlignment="1" applyProtection="1">
      <alignment/>
      <protection/>
    </xf>
    <xf numFmtId="165" fontId="33" fillId="0" borderId="11" xfId="61" applyNumberFormat="1" applyFont="1" applyBorder="1" applyAlignment="1" applyProtection="1">
      <alignment horizontal="right"/>
      <protection/>
    </xf>
    <xf numFmtId="5" fontId="27" fillId="33" borderId="19" xfId="0" applyNumberFormat="1" applyFont="1" applyFill="1" applyBorder="1" applyAlignment="1" applyProtection="1">
      <alignment/>
      <protection/>
    </xf>
    <xf numFmtId="165" fontId="30" fillId="0" borderId="10" xfId="0" applyNumberFormat="1" applyFont="1" applyFill="1" applyBorder="1" applyAlignment="1" applyProtection="1">
      <alignment horizontal="right"/>
      <protection/>
    </xf>
    <xf numFmtId="165" fontId="30" fillId="0" borderId="0" xfId="0" applyNumberFormat="1" applyFont="1" applyFill="1" applyAlignment="1" applyProtection="1">
      <alignment horizontal="left"/>
      <protection/>
    </xf>
    <xf numFmtId="165" fontId="30" fillId="0" borderId="0" xfId="0" applyNumberFormat="1" applyFont="1" applyFill="1" applyAlignment="1" applyProtection="1">
      <alignment horizontal="right"/>
      <protection/>
    </xf>
    <xf numFmtId="0" fontId="30" fillId="0" borderId="0" xfId="0" applyFont="1" applyFill="1" applyAlignment="1" applyProtection="1">
      <alignment/>
      <protection/>
    </xf>
    <xf numFmtId="0" fontId="28" fillId="28" borderId="0" xfId="0" applyFont="1" applyFill="1" applyBorder="1" applyAlignment="1" applyProtection="1">
      <alignment horizontal="left" wrapText="1"/>
      <protection/>
    </xf>
    <xf numFmtId="0" fontId="0" fillId="0" borderId="0" xfId="0" applyAlignment="1">
      <alignment wrapText="1"/>
    </xf>
    <xf numFmtId="167" fontId="0" fillId="0" borderId="0" xfId="42" applyNumberFormat="1" applyFont="1" applyAlignment="1">
      <alignment/>
    </xf>
    <xf numFmtId="0" fontId="0" fillId="0" borderId="0" xfId="0" applyAlignment="1">
      <alignment/>
    </xf>
    <xf numFmtId="0" fontId="0" fillId="0" borderId="40" xfId="0" applyBorder="1" applyAlignment="1">
      <alignment wrapText="1"/>
    </xf>
    <xf numFmtId="0" fontId="0" fillId="0" borderId="0" xfId="0" applyBorder="1" applyAlignment="1">
      <alignment horizontal="center" wrapText="1"/>
    </xf>
    <xf numFmtId="0" fontId="0" fillId="0" borderId="33" xfId="0" applyBorder="1" applyAlignment="1">
      <alignment horizontal="center" vertical="center"/>
    </xf>
    <xf numFmtId="167" fontId="0" fillId="0" borderId="40" xfId="42" applyNumberFormat="1" applyFont="1" applyBorder="1" applyAlignment="1">
      <alignment/>
    </xf>
    <xf numFmtId="167" fontId="0" fillId="0" borderId="0" xfId="42" applyNumberFormat="1" applyFont="1" applyBorder="1" applyAlignment="1">
      <alignment/>
    </xf>
    <xf numFmtId="0" fontId="0" fillId="0" borderId="33" xfId="0" applyBorder="1" applyAlignment="1">
      <alignment/>
    </xf>
    <xf numFmtId="167" fontId="0" fillId="0" borderId="14" xfId="42" applyNumberFormat="1" applyFont="1" applyBorder="1" applyAlignment="1">
      <alignment/>
    </xf>
    <xf numFmtId="167" fontId="0" fillId="0" borderId="34" xfId="42" applyNumberFormat="1" applyFont="1" applyBorder="1" applyAlignment="1">
      <alignment/>
    </xf>
    <xf numFmtId="0" fontId="0" fillId="0" borderId="23" xfId="0" applyBorder="1" applyAlignment="1">
      <alignment/>
    </xf>
    <xf numFmtId="0" fontId="0" fillId="0" borderId="31" xfId="0" applyBorder="1" applyAlignment="1">
      <alignment/>
    </xf>
    <xf numFmtId="0" fontId="0" fillId="0" borderId="40" xfId="0" applyBorder="1" applyAlignment="1">
      <alignment/>
    </xf>
    <xf numFmtId="0" fontId="0" fillId="0" borderId="14" xfId="0" applyBorder="1" applyAlignment="1">
      <alignment wrapText="1"/>
    </xf>
    <xf numFmtId="0" fontId="0" fillId="0" borderId="15" xfId="0" applyFont="1" applyBorder="1" applyAlignment="1">
      <alignment vertical="center"/>
    </xf>
    <xf numFmtId="165" fontId="30" fillId="26" borderId="17" xfId="0" applyNumberFormat="1" applyFont="1" applyFill="1" applyBorder="1" applyAlignment="1" applyProtection="1">
      <alignment horizontal="left" wrapText="1" indent="1"/>
      <protection locked="0"/>
    </xf>
    <xf numFmtId="165" fontId="30" fillId="26" borderId="10" xfId="0" applyNumberFormat="1" applyFont="1" applyFill="1" applyBorder="1" applyAlignment="1" applyProtection="1">
      <alignment horizontal="left" wrapText="1" indent="1"/>
      <protection locked="0"/>
    </xf>
    <xf numFmtId="165" fontId="35" fillId="0" borderId="11" xfId="61" applyNumberFormat="1" applyFont="1" applyBorder="1" applyAlignment="1" applyProtection="1">
      <alignment horizontal="center" wrapText="1"/>
      <protection locked="0"/>
    </xf>
    <xf numFmtId="0" fontId="30" fillId="26" borderId="10" xfId="0" applyFont="1" applyFill="1" applyBorder="1" applyAlignment="1" applyProtection="1">
      <alignment horizontal="left" vertical="top" indent="1"/>
      <protection locked="0"/>
    </xf>
    <xf numFmtId="5" fontId="35" fillId="26" borderId="11" xfId="61" applyNumberFormat="1" applyFont="1" applyFill="1" applyBorder="1" applyAlignment="1" applyProtection="1">
      <alignment horizontal="center" wrapText="1"/>
      <protection locked="0"/>
    </xf>
    <xf numFmtId="165" fontId="35" fillId="26" borderId="11" xfId="61" applyNumberFormat="1" applyFont="1" applyFill="1" applyBorder="1" applyAlignment="1" applyProtection="1">
      <alignment horizontal="center" wrapText="1"/>
      <protection locked="0"/>
    </xf>
    <xf numFmtId="165" fontId="30" fillId="26" borderId="25" xfId="0" applyNumberFormat="1" applyFont="1" applyFill="1" applyBorder="1" applyAlignment="1" applyProtection="1">
      <alignment horizontal="left" wrapText="1" indent="1"/>
      <protection locked="0"/>
    </xf>
    <xf numFmtId="0" fontId="51" fillId="26" borderId="17" xfId="0" applyFont="1" applyFill="1" applyBorder="1" applyAlignment="1" applyProtection="1">
      <alignment/>
      <protection locked="0"/>
    </xf>
    <xf numFmtId="39" fontId="52" fillId="26" borderId="17" xfId="0" applyNumberFormat="1" applyFont="1" applyFill="1" applyBorder="1" applyAlignment="1" applyProtection="1">
      <alignment/>
      <protection locked="0"/>
    </xf>
    <xf numFmtId="39" fontId="52" fillId="26" borderId="10" xfId="0" applyNumberFormat="1" applyFont="1" applyFill="1" applyBorder="1" applyAlignment="1" applyProtection="1">
      <alignment/>
      <protection locked="0"/>
    </xf>
    <xf numFmtId="165" fontId="30" fillId="26" borderId="0" xfId="61" applyNumberFormat="1" applyFont="1" applyFill="1" applyAlignment="1" applyProtection="1">
      <alignment horizontal="left" indent="2"/>
      <protection/>
    </xf>
    <xf numFmtId="0" fontId="30" fillId="26" borderId="10" xfId="61" applyFont="1" applyFill="1" applyBorder="1" applyAlignment="1" applyProtection="1">
      <alignment horizontal="left" vertical="top"/>
      <protection locked="0"/>
    </xf>
    <xf numFmtId="5" fontId="35" fillId="0" borderId="11" xfId="61" applyNumberFormat="1" applyFont="1" applyBorder="1" applyAlignment="1" applyProtection="1">
      <alignment horizontal="center" wrapText="1"/>
      <protection locked="0"/>
    </xf>
    <xf numFmtId="0" fontId="26" fillId="24" borderId="31" xfId="0" applyFont="1" applyFill="1" applyBorder="1" applyAlignment="1" applyProtection="1" quotePrefix="1">
      <alignment/>
      <protection/>
    </xf>
    <xf numFmtId="0" fontId="27" fillId="24" borderId="32" xfId="0" applyFont="1" applyFill="1" applyBorder="1" applyAlignment="1" applyProtection="1">
      <alignment/>
      <protection/>
    </xf>
    <xf numFmtId="0" fontId="0" fillId="24" borderId="32" xfId="0" applyFill="1" applyBorder="1" applyAlignment="1" applyProtection="1">
      <alignment/>
      <protection/>
    </xf>
    <xf numFmtId="0" fontId="26" fillId="22" borderId="11" xfId="0" applyFont="1" applyFill="1" applyBorder="1" applyAlignment="1" applyProtection="1">
      <alignment/>
      <protection/>
    </xf>
    <xf numFmtId="0" fontId="27" fillId="27" borderId="11" xfId="0" applyFont="1" applyFill="1" applyBorder="1" applyAlignment="1" applyProtection="1">
      <alignment/>
      <protection/>
    </xf>
    <xf numFmtId="0" fontId="27" fillId="22" borderId="12" xfId="0" applyFont="1" applyFill="1" applyBorder="1" applyAlignment="1" applyProtection="1">
      <alignment/>
      <protection/>
    </xf>
    <xf numFmtId="0" fontId="27" fillId="22" borderId="31" xfId="0" applyFont="1" applyFill="1" applyBorder="1" applyAlignment="1" applyProtection="1">
      <alignment/>
      <protection/>
    </xf>
    <xf numFmtId="0" fontId="26" fillId="2" borderId="43" xfId="0" applyFont="1" applyFill="1" applyBorder="1" applyAlignment="1" applyProtection="1">
      <alignment/>
      <protection/>
    </xf>
    <xf numFmtId="5" fontId="27" fillId="0" borderId="17" xfId="0" applyNumberFormat="1" applyFont="1" applyFill="1" applyBorder="1" applyAlignment="1" applyProtection="1">
      <alignment/>
      <protection/>
    </xf>
    <xf numFmtId="0" fontId="27" fillId="24" borderId="10" xfId="0" applyFont="1" applyFill="1" applyBorder="1" applyAlignment="1" applyProtection="1">
      <alignment/>
      <protection locked="0"/>
    </xf>
    <xf numFmtId="0" fontId="27" fillId="24" borderId="36" xfId="0" applyFont="1" applyFill="1" applyBorder="1" applyAlignment="1" applyProtection="1">
      <alignment/>
      <protection locked="0"/>
    </xf>
    <xf numFmtId="0" fontId="0" fillId="24" borderId="36" xfId="0" applyFill="1" applyBorder="1" applyAlignment="1" applyProtection="1">
      <alignment/>
      <protection locked="0"/>
    </xf>
    <xf numFmtId="0" fontId="26" fillId="2" borderId="10" xfId="0" applyFont="1" applyFill="1" applyBorder="1" applyAlignment="1" applyProtection="1">
      <alignment/>
      <protection/>
    </xf>
    <xf numFmtId="0" fontId="0" fillId="26" borderId="0" xfId="0" applyFill="1" applyBorder="1" applyAlignment="1" applyProtection="1">
      <alignment/>
      <protection/>
    </xf>
    <xf numFmtId="0" fontId="26" fillId="26" borderId="40" xfId="0" applyFont="1" applyFill="1" applyBorder="1" applyAlignment="1" applyProtection="1" quotePrefix="1">
      <alignment/>
      <protection/>
    </xf>
    <xf numFmtId="0" fontId="27" fillId="24" borderId="11" xfId="0" applyFont="1" applyFill="1" applyBorder="1" applyAlignment="1" applyProtection="1">
      <alignment/>
      <protection/>
    </xf>
    <xf numFmtId="0" fontId="27" fillId="24" borderId="26" xfId="0" applyFont="1" applyFill="1" applyBorder="1" applyAlignment="1" applyProtection="1">
      <alignment/>
      <protection/>
    </xf>
    <xf numFmtId="0" fontId="21" fillId="0" borderId="14" xfId="0" applyFont="1" applyFill="1" applyBorder="1" applyAlignment="1" applyProtection="1">
      <alignment/>
      <protection/>
    </xf>
    <xf numFmtId="5" fontId="27" fillId="33" borderId="19" xfId="0" applyNumberFormat="1" applyFont="1" applyFill="1" applyBorder="1" applyAlignment="1" applyProtection="1">
      <alignment/>
      <protection/>
    </xf>
    <xf numFmtId="0" fontId="27" fillId="33" borderId="26" xfId="0" applyFont="1" applyFill="1" applyBorder="1" applyAlignment="1" applyProtection="1">
      <alignment/>
      <protection/>
    </xf>
    <xf numFmtId="0" fontId="26" fillId="26" borderId="40" xfId="0" applyFont="1" applyFill="1" applyBorder="1" applyAlignment="1" applyProtection="1">
      <alignment/>
      <protection/>
    </xf>
    <xf numFmtId="5" fontId="27" fillId="26" borderId="0" xfId="0" applyNumberFormat="1" applyFont="1" applyFill="1" applyBorder="1" applyAlignment="1" applyProtection="1">
      <alignment/>
      <protection/>
    </xf>
    <xf numFmtId="0" fontId="0" fillId="26" borderId="0" xfId="0" applyFill="1" applyAlignment="1" applyProtection="1">
      <alignment/>
      <protection/>
    </xf>
    <xf numFmtId="0" fontId="0" fillId="0" borderId="0" xfId="0" applyAlignment="1" applyProtection="1">
      <alignment/>
      <protection/>
    </xf>
    <xf numFmtId="0" fontId="27" fillId="24" borderId="0" xfId="0" applyFont="1" applyFill="1" applyBorder="1" applyAlignment="1" applyProtection="1">
      <alignment/>
      <protection locked="0"/>
    </xf>
    <xf numFmtId="0" fontId="0" fillId="24" borderId="0" xfId="0" applyFill="1" applyBorder="1" applyAlignment="1" applyProtection="1">
      <alignment/>
      <protection locked="0"/>
    </xf>
    <xf numFmtId="0" fontId="21" fillId="27" borderId="11" xfId="0" applyFont="1" applyFill="1" applyBorder="1" applyAlignment="1" applyProtection="1">
      <alignment horizontal="center"/>
      <protection/>
    </xf>
    <xf numFmtId="0" fontId="27" fillId="28" borderId="15" xfId="0" applyFont="1" applyFill="1" applyBorder="1" applyAlignment="1" applyProtection="1">
      <alignment horizontal="center"/>
      <protection/>
    </xf>
    <xf numFmtId="0" fontId="27" fillId="28" borderId="17" xfId="0" applyFont="1" applyFill="1" applyBorder="1" applyAlignment="1" applyProtection="1">
      <alignment horizontal="center"/>
      <protection/>
    </xf>
    <xf numFmtId="0" fontId="27" fillId="28" borderId="0" xfId="0" applyFont="1" applyFill="1" applyBorder="1" applyAlignment="1" applyProtection="1">
      <alignment horizontal="center"/>
      <protection/>
    </xf>
    <xf numFmtId="37" fontId="27" fillId="28" borderId="0" xfId="0" applyNumberFormat="1" applyFont="1" applyFill="1" applyBorder="1" applyAlignment="1" applyProtection="1">
      <alignment horizontal="center"/>
      <protection/>
    </xf>
    <xf numFmtId="0" fontId="27" fillId="28" borderId="10" xfId="0" applyFont="1" applyFill="1" applyBorder="1" applyAlignment="1" applyProtection="1">
      <alignment horizontal="center"/>
      <protection/>
    </xf>
    <xf numFmtId="9" fontId="27" fillId="28" borderId="10" xfId="0" applyNumberFormat="1" applyFont="1" applyFill="1" applyBorder="1" applyAlignment="1" applyProtection="1">
      <alignment horizontal="center"/>
      <protection/>
    </xf>
    <xf numFmtId="9" fontId="27" fillId="28" borderId="0" xfId="0" applyNumberFormat="1" applyFont="1" applyFill="1" applyBorder="1" applyAlignment="1" applyProtection="1">
      <alignment horizontal="center"/>
      <protection/>
    </xf>
    <xf numFmtId="165" fontId="27" fillId="28" borderId="10" xfId="0" applyNumberFormat="1" applyFont="1" applyFill="1" applyBorder="1" applyAlignment="1" applyProtection="1">
      <alignment horizontal="center"/>
      <protection/>
    </xf>
    <xf numFmtId="165" fontId="27" fillId="28" borderId="0" xfId="0" applyNumberFormat="1" applyFont="1" applyFill="1" applyBorder="1" applyAlignment="1" applyProtection="1">
      <alignment horizontal="center"/>
      <protection/>
    </xf>
    <xf numFmtId="5" fontId="27" fillId="28" borderId="15" xfId="0" applyNumberFormat="1" applyFont="1" applyFill="1" applyBorder="1" applyAlignment="1" applyProtection="1">
      <alignment horizontal="center"/>
      <protection/>
    </xf>
    <xf numFmtId="5" fontId="27" fillId="28" borderId="16" xfId="0" applyNumberFormat="1" applyFont="1" applyFill="1" applyBorder="1" applyAlignment="1" applyProtection="1">
      <alignment horizontal="center"/>
      <protection/>
    </xf>
    <xf numFmtId="0" fontId="21" fillId="26" borderId="0" xfId="0" applyFont="1" applyFill="1" applyBorder="1" applyAlignment="1" applyProtection="1">
      <alignment horizontal="center"/>
      <protection/>
    </xf>
    <xf numFmtId="0" fontId="0" fillId="28" borderId="17" xfId="0" applyFont="1" applyFill="1" applyBorder="1" applyAlignment="1" applyProtection="1">
      <alignment horizontal="center"/>
      <protection/>
    </xf>
    <xf numFmtId="5" fontId="0" fillId="0" borderId="13" xfId="0" applyNumberFormat="1" applyBorder="1" applyAlignment="1" applyProtection="1">
      <alignment horizontal="center"/>
      <protection/>
    </xf>
    <xf numFmtId="0" fontId="0" fillId="28" borderId="13" xfId="0" applyFont="1" applyFill="1" applyBorder="1" applyAlignment="1" applyProtection="1">
      <alignment horizontal="center"/>
      <protection/>
    </xf>
    <xf numFmtId="5" fontId="27" fillId="0" borderId="13" xfId="0" applyNumberFormat="1" applyFont="1" applyBorder="1" applyAlignment="1" applyProtection="1">
      <alignment horizontal="center"/>
      <protection/>
    </xf>
    <xf numFmtId="0" fontId="27" fillId="31" borderId="0" xfId="0" applyFont="1" applyFill="1" applyAlignment="1" applyProtection="1">
      <alignment horizontal="center"/>
      <protection/>
    </xf>
    <xf numFmtId="0" fontId="0" fillId="31" borderId="0" xfId="0" applyFill="1" applyAlignment="1" applyProtection="1">
      <alignment horizontal="center"/>
      <protection/>
    </xf>
    <xf numFmtId="0" fontId="0" fillId="28" borderId="43" xfId="0" applyFont="1" applyFill="1" applyBorder="1" applyAlignment="1" applyProtection="1">
      <alignment horizontal="center"/>
      <protection/>
    </xf>
    <xf numFmtId="167" fontId="0" fillId="20" borderId="0" xfId="42" applyNumberFormat="1" applyFont="1" applyFill="1" applyBorder="1" applyAlignment="1" applyProtection="1">
      <alignment horizontal="center"/>
      <protection/>
    </xf>
    <xf numFmtId="167" fontId="0" fillId="24" borderId="10" xfId="42" applyNumberFormat="1" applyFont="1" applyFill="1" applyBorder="1" applyAlignment="1" applyProtection="1">
      <alignment horizontal="center"/>
      <protection/>
    </xf>
    <xf numFmtId="167" fontId="27" fillId="0" borderId="10" xfId="42" applyNumberFormat="1" applyFont="1" applyFill="1" applyBorder="1" applyAlignment="1" applyProtection="1" quotePrefix="1">
      <alignment horizontal="center"/>
      <protection locked="0"/>
    </xf>
    <xf numFmtId="0" fontId="0" fillId="0" borderId="10" xfId="0" applyBorder="1" applyAlignment="1" applyProtection="1">
      <alignment horizontal="center"/>
      <protection/>
    </xf>
    <xf numFmtId="0" fontId="27" fillId="28" borderId="44" xfId="0" applyFont="1" applyFill="1" applyBorder="1" applyAlignment="1" applyProtection="1">
      <alignment horizontal="center"/>
      <protection/>
    </xf>
    <xf numFmtId="5" fontId="27" fillId="28" borderId="13" xfId="42" applyNumberFormat="1" applyFont="1" applyFill="1" applyBorder="1" applyAlignment="1" applyProtection="1">
      <alignment horizontal="center"/>
      <protection/>
    </xf>
    <xf numFmtId="5" fontId="27" fillId="28" borderId="45" xfId="42" applyNumberFormat="1" applyFont="1" applyFill="1" applyBorder="1" applyAlignment="1" applyProtection="1">
      <alignment horizontal="center"/>
      <protection/>
    </xf>
    <xf numFmtId="167" fontId="0" fillId="24" borderId="36" xfId="42" applyNumberFormat="1" applyFont="1" applyFill="1" applyBorder="1" applyAlignment="1" applyProtection="1">
      <alignment horizontal="center"/>
      <protection/>
    </xf>
    <xf numFmtId="5" fontId="27" fillId="28" borderId="11" xfId="42" applyNumberFormat="1" applyFont="1" applyFill="1" applyBorder="1" applyAlignment="1" applyProtection="1">
      <alignment horizontal="center"/>
      <protection/>
    </xf>
    <xf numFmtId="0" fontId="0" fillId="26" borderId="40" xfId="0" applyFont="1" applyFill="1" applyBorder="1" applyAlignment="1" applyProtection="1">
      <alignment horizontal="center"/>
      <protection/>
    </xf>
    <xf numFmtId="0" fontId="27" fillId="28" borderId="43" xfId="0" applyFont="1" applyFill="1" applyBorder="1" applyAlignment="1" applyProtection="1">
      <alignment horizontal="center" wrapText="1"/>
      <protection/>
    </xf>
    <xf numFmtId="37" fontId="27" fillId="26" borderId="10" xfId="42" applyNumberFormat="1" applyFont="1" applyFill="1" applyBorder="1" applyAlignment="1" applyProtection="1">
      <alignment horizontal="center"/>
      <protection locked="0"/>
    </xf>
    <xf numFmtId="0" fontId="27" fillId="28" borderId="46" xfId="0" applyFont="1" applyFill="1" applyBorder="1" applyAlignment="1" applyProtection="1">
      <alignment horizontal="center"/>
      <protection/>
    </xf>
    <xf numFmtId="0" fontId="0" fillId="0" borderId="34" xfId="0" applyBorder="1" applyAlignment="1" applyProtection="1">
      <alignment horizontal="center"/>
      <protection/>
    </xf>
    <xf numFmtId="167" fontId="0" fillId="24" borderId="47" xfId="42" applyNumberFormat="1" applyFont="1" applyFill="1" applyBorder="1" applyAlignment="1" applyProtection="1">
      <alignment horizontal="center"/>
      <protection/>
    </xf>
    <xf numFmtId="0" fontId="0" fillId="26" borderId="0" xfId="0" applyFill="1" applyAlignment="1" applyProtection="1">
      <alignment horizontal="center"/>
      <protection/>
    </xf>
    <xf numFmtId="167" fontId="0" fillId="26" borderId="0" xfId="42" applyNumberFormat="1" applyFont="1" applyFill="1" applyBorder="1" applyAlignment="1" applyProtection="1">
      <alignment horizontal="center"/>
      <protection/>
    </xf>
    <xf numFmtId="0" fontId="0" fillId="26" borderId="0" xfId="0" applyFont="1" applyFill="1" applyBorder="1" applyAlignment="1" applyProtection="1">
      <alignment horizontal="center"/>
      <protection/>
    </xf>
    <xf numFmtId="0" fontId="0" fillId="26" borderId="32" xfId="0" applyFill="1" applyBorder="1" applyAlignment="1" applyProtection="1">
      <alignment horizontal="center"/>
      <protection/>
    </xf>
    <xf numFmtId="167" fontId="0" fillId="26" borderId="32" xfId="42" applyNumberFormat="1" applyFont="1" applyFill="1" applyBorder="1" applyAlignment="1" applyProtection="1">
      <alignment horizontal="center"/>
      <protection/>
    </xf>
    <xf numFmtId="0" fontId="21" fillId="27" borderId="48" xfId="0" applyFont="1" applyFill="1" applyBorder="1" applyAlignment="1" applyProtection="1">
      <alignment horizontal="center"/>
      <protection/>
    </xf>
    <xf numFmtId="167" fontId="27" fillId="26" borderId="49" xfId="42" applyNumberFormat="1" applyFont="1" applyFill="1" applyBorder="1" applyAlignment="1" applyProtection="1" quotePrefix="1">
      <alignment horizontal="center"/>
      <protection locked="0"/>
    </xf>
    <xf numFmtId="37" fontId="27" fillId="26" borderId="49" xfId="42" applyNumberFormat="1" applyFont="1" applyFill="1" applyBorder="1" applyAlignment="1" applyProtection="1">
      <alignment horizontal="center"/>
      <protection locked="0"/>
    </xf>
    <xf numFmtId="5" fontId="27" fillId="28" borderId="10" xfId="42" applyNumberFormat="1" applyFont="1" applyFill="1" applyBorder="1" applyAlignment="1" applyProtection="1">
      <alignment horizontal="center"/>
      <protection/>
    </xf>
    <xf numFmtId="167" fontId="0" fillId="24" borderId="42" xfId="42" applyNumberFormat="1" applyFont="1" applyFill="1" applyBorder="1" applyAlignment="1" applyProtection="1">
      <alignment horizontal="center"/>
      <protection/>
    </xf>
    <xf numFmtId="5" fontId="27" fillId="28" borderId="42" xfId="42" applyNumberFormat="1" applyFont="1" applyFill="1" applyBorder="1" applyAlignment="1" applyProtection="1">
      <alignment horizontal="center"/>
      <protection/>
    </xf>
    <xf numFmtId="5" fontId="27" fillId="28" borderId="50" xfId="42" applyNumberFormat="1" applyFont="1" applyFill="1" applyBorder="1" applyAlignment="1" applyProtection="1">
      <alignment horizontal="center"/>
      <protection/>
    </xf>
    <xf numFmtId="0" fontId="26" fillId="28" borderId="11" xfId="0" applyFont="1" applyFill="1" applyBorder="1" applyAlignment="1" applyProtection="1" quotePrefix="1">
      <alignment horizontal="center"/>
      <protection/>
    </xf>
    <xf numFmtId="5" fontId="0" fillId="28" borderId="10" xfId="0" applyNumberFormat="1" applyFill="1" applyBorder="1" applyAlignment="1" applyProtection="1">
      <alignment horizontal="center"/>
      <protection/>
    </xf>
    <xf numFmtId="5" fontId="0" fillId="28" borderId="13" xfId="0" applyNumberFormat="1" applyFill="1" applyBorder="1" applyAlignment="1" applyProtection="1">
      <alignment horizontal="center"/>
      <protection/>
    </xf>
    <xf numFmtId="0" fontId="26" fillId="28" borderId="11" xfId="0" applyFont="1" applyFill="1" applyBorder="1" applyAlignment="1" applyProtection="1">
      <alignment horizontal="center"/>
      <protection/>
    </xf>
    <xf numFmtId="0" fontId="0" fillId="27" borderId="11" xfId="0" applyFont="1" applyFill="1" applyBorder="1" applyAlignment="1" applyProtection="1">
      <alignment horizontal="center" wrapText="1"/>
      <protection/>
    </xf>
    <xf numFmtId="0" fontId="0" fillId="0" borderId="0" xfId="0" applyFont="1" applyBorder="1" applyAlignment="1" applyProtection="1">
      <alignment horizontal="center" wrapText="1"/>
      <protection/>
    </xf>
    <xf numFmtId="0" fontId="0" fillId="0" borderId="0" xfId="0" applyFont="1" applyAlignment="1" applyProtection="1" quotePrefix="1">
      <alignment horizontal="center"/>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0" fontId="30" fillId="26" borderId="10" xfId="61" applyFont="1" applyFill="1" applyBorder="1" applyAlignment="1" applyProtection="1">
      <alignment horizontal="left" indent="2"/>
      <protection locked="0"/>
    </xf>
    <xf numFmtId="0" fontId="27" fillId="0" borderId="12" xfId="0" applyFont="1" applyBorder="1" applyAlignment="1">
      <alignment horizontal="center"/>
    </xf>
    <xf numFmtId="0" fontId="27" fillId="0" borderId="16" xfId="0" applyFont="1" applyBorder="1" applyAlignment="1">
      <alignment horizontal="center"/>
    </xf>
    <xf numFmtId="0" fontId="27" fillId="0" borderId="15" xfId="0" applyFont="1" applyBorder="1" applyAlignment="1">
      <alignment horizontal="center"/>
    </xf>
    <xf numFmtId="0" fontId="50" fillId="27" borderId="19" xfId="0" applyFont="1" applyFill="1" applyBorder="1" applyAlignment="1" applyProtection="1">
      <alignment horizontal="left" vertical="center" wrapText="1"/>
      <protection/>
    </xf>
    <xf numFmtId="0" fontId="50" fillId="27" borderId="26" xfId="0" applyFont="1" applyFill="1" applyBorder="1" applyAlignment="1" applyProtection="1">
      <alignment horizontal="left" vertical="center" wrapText="1"/>
      <protection/>
    </xf>
    <xf numFmtId="0" fontId="50" fillId="27" borderId="22" xfId="0" applyFont="1" applyFill="1" applyBorder="1" applyAlignment="1" applyProtection="1">
      <alignment horizontal="left" vertical="center" wrapText="1"/>
      <protection/>
    </xf>
    <xf numFmtId="0" fontId="65" fillId="27" borderId="19" xfId="0" applyFont="1" applyFill="1" applyBorder="1" applyAlignment="1" applyProtection="1">
      <alignment horizontal="left"/>
      <protection/>
    </xf>
    <xf numFmtId="0" fontId="65" fillId="27" borderId="26" xfId="0" applyFont="1" applyFill="1" applyBorder="1" applyAlignment="1" applyProtection="1">
      <alignment horizontal="left"/>
      <protection/>
    </xf>
    <xf numFmtId="0" fontId="65" fillId="27" borderId="22" xfId="0" applyFont="1" applyFill="1" applyBorder="1" applyAlignment="1" applyProtection="1">
      <alignment horizontal="left"/>
      <protection/>
    </xf>
    <xf numFmtId="0" fontId="50" fillId="27" borderId="19" xfId="0" applyFont="1" applyFill="1" applyBorder="1" applyAlignment="1" applyProtection="1">
      <alignment horizontal="center" wrapText="1"/>
      <protection/>
    </xf>
    <xf numFmtId="0" fontId="50" fillId="27" borderId="26" xfId="0" applyFont="1" applyFill="1" applyBorder="1" applyAlignment="1" applyProtection="1">
      <alignment horizontal="center" wrapText="1"/>
      <protection/>
    </xf>
    <xf numFmtId="0" fontId="50" fillId="27" borderId="22" xfId="0" applyFont="1" applyFill="1" applyBorder="1" applyAlignment="1" applyProtection="1">
      <alignment horizontal="center" wrapText="1"/>
      <protection/>
    </xf>
    <xf numFmtId="0" fontId="50" fillId="27" borderId="19" xfId="0" applyFont="1" applyFill="1" applyBorder="1" applyAlignment="1" applyProtection="1">
      <alignment horizontal="left"/>
      <protection/>
    </xf>
    <xf numFmtId="0" fontId="50" fillId="27" borderId="26" xfId="0" applyFont="1" applyFill="1" applyBorder="1" applyAlignment="1" applyProtection="1">
      <alignment horizontal="left"/>
      <protection/>
    </xf>
    <xf numFmtId="0" fontId="50" fillId="27" borderId="22" xfId="0" applyFont="1" applyFill="1" applyBorder="1" applyAlignment="1" applyProtection="1">
      <alignment horizontal="left"/>
      <protection/>
    </xf>
    <xf numFmtId="0" fontId="50" fillId="27" borderId="19" xfId="0" applyFont="1" applyFill="1" applyBorder="1" applyAlignment="1" applyProtection="1">
      <alignment horizontal="center" vertical="center" wrapText="1"/>
      <protection/>
    </xf>
    <xf numFmtId="0" fontId="50" fillId="27" borderId="26" xfId="0" applyFont="1" applyFill="1" applyBorder="1" applyAlignment="1" applyProtection="1">
      <alignment horizontal="center" vertical="center" wrapText="1"/>
      <protection/>
    </xf>
    <xf numFmtId="0" fontId="50" fillId="27" borderId="22" xfId="0" applyFont="1" applyFill="1" applyBorder="1" applyAlignment="1" applyProtection="1">
      <alignment horizontal="center" vertical="center" wrapText="1"/>
      <protection/>
    </xf>
    <xf numFmtId="0" fontId="0" fillId="0" borderId="0" xfId="0" applyFont="1" applyAlignment="1" applyProtection="1">
      <alignment horizontal="left"/>
      <protection/>
    </xf>
    <xf numFmtId="0" fontId="21" fillId="28" borderId="19" xfId="0" applyFont="1" applyFill="1" applyBorder="1" applyAlignment="1" applyProtection="1">
      <alignment horizontal="center"/>
      <protection/>
    </xf>
    <xf numFmtId="0" fontId="21" fillId="28" borderId="26" xfId="0" applyFont="1" applyFill="1" applyBorder="1" applyAlignment="1" applyProtection="1">
      <alignment horizontal="center"/>
      <protection/>
    </xf>
    <xf numFmtId="0" fontId="21" fillId="28" borderId="22" xfId="0" applyFont="1" applyFill="1" applyBorder="1" applyAlignment="1" applyProtection="1">
      <alignment horizontal="center"/>
      <protection/>
    </xf>
    <xf numFmtId="0" fontId="28" fillId="22" borderId="19" xfId="0" applyFont="1" applyFill="1" applyBorder="1" applyAlignment="1" applyProtection="1" quotePrefix="1">
      <alignment/>
      <protection/>
    </xf>
    <xf numFmtId="0" fontId="28" fillId="22" borderId="26" xfId="0" applyFont="1" applyFill="1" applyBorder="1" applyAlignment="1" applyProtection="1" quotePrefix="1">
      <alignment/>
      <protection/>
    </xf>
    <xf numFmtId="0" fontId="26" fillId="22" borderId="19" xfId="0" applyFont="1" applyFill="1" applyBorder="1" applyAlignment="1" applyProtection="1">
      <alignment/>
      <protection/>
    </xf>
    <xf numFmtId="0" fontId="26" fillId="22" borderId="26" xfId="0" applyFont="1" applyFill="1" applyBorder="1" applyAlignment="1" applyProtection="1">
      <alignment/>
      <protection/>
    </xf>
    <xf numFmtId="0" fontId="22" fillId="0" borderId="0" xfId="0" applyFont="1" applyBorder="1" applyAlignment="1">
      <alignment horizontal="left" vertical="top" wrapText="1"/>
    </xf>
    <xf numFmtId="0" fontId="28" fillId="28" borderId="19" xfId="0" applyFont="1" applyFill="1" applyBorder="1" applyAlignment="1" applyProtection="1">
      <alignment horizontal="left" wrapText="1"/>
      <protection/>
    </xf>
    <xf numFmtId="0" fontId="28" fillId="28" borderId="22" xfId="0" applyFont="1" applyFill="1" applyBorder="1" applyAlignment="1" applyProtection="1">
      <alignment horizontal="left" wrapText="1"/>
      <protection/>
    </xf>
    <xf numFmtId="0" fontId="27" fillId="27" borderId="19" xfId="0" applyFont="1" applyFill="1" applyBorder="1" applyAlignment="1" applyProtection="1">
      <alignment horizontal="center"/>
      <protection/>
    </xf>
    <xf numFmtId="0" fontId="27" fillId="27" borderId="26" xfId="0" applyFont="1" applyFill="1" applyBorder="1" applyAlignment="1" applyProtection="1">
      <alignment horizontal="center"/>
      <protection/>
    </xf>
    <xf numFmtId="0" fontId="27" fillId="27" borderId="22" xfId="0" applyFont="1" applyFill="1" applyBorder="1" applyAlignment="1" applyProtection="1">
      <alignment horizontal="center"/>
      <protection/>
    </xf>
    <xf numFmtId="0" fontId="26" fillId="27" borderId="12" xfId="0" applyFont="1" applyFill="1" applyBorder="1" applyAlignment="1" applyProtection="1">
      <alignment horizontal="center" wrapText="1"/>
      <protection/>
    </xf>
    <xf numFmtId="0" fontId="26" fillId="27" borderId="15" xfId="0" applyFont="1" applyFill="1" applyBorder="1" applyAlignment="1" applyProtection="1">
      <alignment horizontal="center" wrapText="1"/>
      <protection/>
    </xf>
    <xf numFmtId="0" fontId="27" fillId="25" borderId="51" xfId="0" applyFont="1" applyFill="1" applyBorder="1" applyAlignment="1" applyProtection="1">
      <alignment horizontal="center" wrapText="1"/>
      <protection/>
    </xf>
    <xf numFmtId="0" fontId="27" fillId="25" borderId="52" xfId="0" applyFont="1" applyFill="1" applyBorder="1" applyAlignment="1" applyProtection="1">
      <alignment horizontal="center" wrapText="1"/>
      <protection/>
    </xf>
    <xf numFmtId="0" fontId="0" fillId="0" borderId="31" xfId="0" applyFont="1" applyBorder="1" applyAlignment="1">
      <alignment horizontal="center" wrapText="1"/>
    </xf>
    <xf numFmtId="0" fontId="0" fillId="0" borderId="32" xfId="0" applyBorder="1" applyAlignment="1">
      <alignment horizontal="center" wrapText="1"/>
    </xf>
    <xf numFmtId="0" fontId="0" fillId="0" borderId="21" xfId="0" applyBorder="1" applyAlignment="1">
      <alignment horizontal="center" wrapText="1"/>
    </xf>
    <xf numFmtId="0" fontId="0" fillId="0" borderId="32" xfId="0" applyFont="1" applyBorder="1" applyAlignment="1">
      <alignment horizontal="center" wrapText="1"/>
    </xf>
    <xf numFmtId="0" fontId="0" fillId="0" borderId="21" xfId="0" applyFont="1" applyBorder="1" applyAlignment="1">
      <alignment horizontal="center" wrapText="1"/>
    </xf>
    <xf numFmtId="0" fontId="37" fillId="27" borderId="19" xfId="0" applyFont="1" applyFill="1" applyBorder="1" applyAlignment="1" applyProtection="1">
      <alignment horizontal="center"/>
      <protection/>
    </xf>
    <xf numFmtId="0" fontId="37" fillId="27" borderId="26" xfId="0" applyFont="1" applyFill="1" applyBorder="1" applyAlignment="1" applyProtection="1">
      <alignment horizontal="center"/>
      <protection/>
    </xf>
    <xf numFmtId="0" fontId="37" fillId="27" borderId="22" xfId="0" applyFont="1" applyFill="1" applyBorder="1" applyAlignment="1" applyProtection="1">
      <alignment horizontal="center"/>
      <protection/>
    </xf>
    <xf numFmtId="0" fontId="39" fillId="27" borderId="12" xfId="0" applyFont="1" applyFill="1" applyBorder="1" applyAlignment="1" applyProtection="1">
      <alignment horizontal="center" vertical="top" wrapText="1"/>
      <protection/>
    </xf>
    <xf numFmtId="0" fontId="39" fillId="27" borderId="15" xfId="0" applyFont="1" applyFill="1" applyBorder="1" applyAlignment="1" applyProtection="1">
      <alignment horizontal="center" vertical="top" wrapText="1"/>
      <protection/>
    </xf>
    <xf numFmtId="165" fontId="30" fillId="27" borderId="12" xfId="0" applyNumberFormat="1" applyFont="1" applyFill="1" applyBorder="1" applyAlignment="1" applyProtection="1">
      <alignment horizontal="center"/>
      <protection/>
    </xf>
    <xf numFmtId="165" fontId="30" fillId="27" borderId="16" xfId="0" applyNumberFormat="1" applyFont="1" applyFill="1" applyBorder="1" applyAlignment="1" applyProtection="1">
      <alignment horizontal="center"/>
      <protection/>
    </xf>
    <xf numFmtId="165" fontId="30" fillId="27" borderId="15" xfId="0" applyNumberFormat="1" applyFont="1" applyFill="1" applyBorder="1" applyAlignment="1" applyProtection="1">
      <alignment horizontal="center"/>
      <protection/>
    </xf>
    <xf numFmtId="165" fontId="33" fillId="27" borderId="21" xfId="0" applyNumberFormat="1" applyFont="1" applyFill="1" applyBorder="1" applyAlignment="1" applyProtection="1">
      <alignment horizontal="center" wrapText="1"/>
      <protection/>
    </xf>
    <xf numFmtId="165" fontId="33" fillId="27" borderId="33" xfId="0" applyNumberFormat="1" applyFont="1" applyFill="1" applyBorder="1" applyAlignment="1" applyProtection="1">
      <alignment horizontal="center" wrapText="1"/>
      <protection/>
    </xf>
    <xf numFmtId="165" fontId="33" fillId="27" borderId="23" xfId="0" applyNumberFormat="1" applyFont="1" applyFill="1" applyBorder="1" applyAlignment="1" applyProtection="1">
      <alignment horizontal="center" wrapText="1"/>
      <protection/>
    </xf>
    <xf numFmtId="165" fontId="33" fillId="27" borderId="12" xfId="0" applyNumberFormat="1" applyFont="1" applyFill="1" applyBorder="1" applyAlignment="1" applyProtection="1">
      <alignment horizontal="center" wrapText="1"/>
      <protection/>
    </xf>
    <xf numFmtId="165" fontId="33" fillId="27" borderId="16" xfId="0" applyNumberFormat="1" applyFont="1" applyFill="1" applyBorder="1" applyAlignment="1" applyProtection="1">
      <alignment horizontal="center" wrapText="1"/>
      <protection/>
    </xf>
    <xf numFmtId="165" fontId="33" fillId="27" borderId="15" xfId="0" applyNumberFormat="1" applyFont="1" applyFill="1" applyBorder="1" applyAlignment="1" applyProtection="1">
      <alignment horizontal="center" wrapText="1"/>
      <protection/>
    </xf>
    <xf numFmtId="169" fontId="21" fillId="27" borderId="19" xfId="0" applyNumberFormat="1" applyFont="1" applyFill="1" applyBorder="1" applyAlignment="1" applyProtection="1">
      <alignment horizontal="center"/>
      <protection/>
    </xf>
    <xf numFmtId="169" fontId="21" fillId="27" borderId="26" xfId="0" applyNumberFormat="1" applyFont="1" applyFill="1" applyBorder="1" applyAlignment="1" applyProtection="1">
      <alignment horizontal="center"/>
      <protection/>
    </xf>
    <xf numFmtId="169" fontId="21" fillId="27" borderId="22" xfId="0" applyNumberFormat="1" applyFont="1" applyFill="1" applyBorder="1" applyAlignment="1" applyProtection="1">
      <alignment horizontal="center"/>
      <protection/>
    </xf>
    <xf numFmtId="0" fontId="37" fillId="27" borderId="19" xfId="0" applyFont="1" applyFill="1" applyBorder="1" applyAlignment="1">
      <alignment horizontal="center"/>
    </xf>
    <xf numFmtId="0" fontId="37" fillId="27" borderId="26" xfId="0" applyFont="1" applyFill="1" applyBorder="1" applyAlignment="1">
      <alignment horizontal="center"/>
    </xf>
    <xf numFmtId="0" fontId="37" fillId="27" borderId="22" xfId="0" applyFont="1" applyFill="1" applyBorder="1" applyAlignment="1">
      <alignment horizontal="center"/>
    </xf>
    <xf numFmtId="0" fontId="39" fillId="27" borderId="12" xfId="0" applyFont="1" applyFill="1" applyBorder="1" applyAlignment="1" applyProtection="1">
      <alignment horizontal="center" wrapText="1"/>
      <protection/>
    </xf>
    <xf numFmtId="0" fontId="39" fillId="27" borderId="15" xfId="0" applyFont="1" applyFill="1" applyBorder="1" applyAlignment="1" applyProtection="1">
      <alignment horizontal="center" wrapText="1"/>
      <protection/>
    </xf>
    <xf numFmtId="0" fontId="21" fillId="28" borderId="19" xfId="0" applyFont="1" applyFill="1" applyBorder="1" applyAlignment="1" applyProtection="1">
      <alignment horizontal="left"/>
      <protection/>
    </xf>
    <xf numFmtId="0" fontId="21" fillId="28" borderId="22" xfId="0" applyFont="1" applyFill="1" applyBorder="1" applyAlignment="1" applyProtection="1">
      <alignment horizontal="left"/>
      <protection/>
    </xf>
    <xf numFmtId="0" fontId="0" fillId="28" borderId="19" xfId="0" applyFont="1" applyFill="1" applyBorder="1" applyAlignment="1" applyProtection="1">
      <alignment horizontal="left"/>
      <protection/>
    </xf>
    <xf numFmtId="0" fontId="0" fillId="28" borderId="26" xfId="0" applyFont="1" applyFill="1" applyBorder="1" applyAlignment="1" applyProtection="1">
      <alignment horizontal="left"/>
      <protection/>
    </xf>
    <xf numFmtId="0" fontId="0" fillId="28" borderId="22" xfId="0" applyFont="1" applyFill="1" applyBorder="1" applyAlignment="1" applyProtection="1">
      <alignment horizontal="lef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_Sheet1" xfId="61"/>
    <cellStyle name="Note" xfId="62"/>
    <cellStyle name="Output" xfId="63"/>
    <cellStyle name="Percent" xfId="64"/>
    <cellStyle name="Title" xfId="65"/>
    <cellStyle name="Total" xfId="66"/>
    <cellStyle name="Warning Text" xfId="67"/>
  </cellStyles>
  <dxfs count="3">
    <dxf>
      <fill>
        <patternFill>
          <bgColor indexed="10"/>
        </patternFill>
      </fill>
    </dxf>
    <dxf>
      <fill>
        <patternFill>
          <bgColor indexed="22"/>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2667000</xdr:colOff>
      <xdr:row>11</xdr:row>
      <xdr:rowOff>85725</xdr:rowOff>
    </xdr:from>
    <xdr:ext cx="200025" cy="266700"/>
    <xdr:sp fLocksText="0">
      <xdr:nvSpPr>
        <xdr:cNvPr id="1" name="TextBox 1"/>
        <xdr:cNvSpPr txBox="1">
          <a:spLocks noChangeArrowheads="1"/>
        </xdr:cNvSpPr>
      </xdr:nvSpPr>
      <xdr:spPr>
        <a:xfrm>
          <a:off x="2667000" y="2286000"/>
          <a:ext cx="20002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1009650</xdr:colOff>
      <xdr:row>32</xdr:row>
      <xdr:rowOff>0</xdr:rowOff>
    </xdr:from>
    <xdr:ext cx="190500" cy="276225"/>
    <xdr:sp fLocksText="0">
      <xdr:nvSpPr>
        <xdr:cNvPr id="2" name="TextBox 2"/>
        <xdr:cNvSpPr txBox="1">
          <a:spLocks noChangeArrowheads="1"/>
        </xdr:cNvSpPr>
      </xdr:nvSpPr>
      <xdr:spPr>
        <a:xfrm>
          <a:off x="7324725" y="6210300"/>
          <a:ext cx="19050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C126"/>
  <sheetViews>
    <sheetView zoomScale="80" zoomScaleNormal="80" zoomScalePageLayoutView="0" workbookViewId="0" topLeftCell="A44">
      <selection activeCell="B47" sqref="B47"/>
    </sheetView>
  </sheetViews>
  <sheetFormatPr defaultColWidth="9.140625" defaultRowHeight="12.75"/>
  <cols>
    <col min="1" max="1" width="9.140625" style="5" customWidth="1"/>
    <col min="2" max="2" width="84.57421875" style="0" customWidth="1"/>
  </cols>
  <sheetData>
    <row r="1" spans="1:2" ht="13.5" thickBot="1">
      <c r="A1" s="525" t="s">
        <v>344</v>
      </c>
      <c r="B1" t="s">
        <v>409</v>
      </c>
    </row>
    <row r="2" spans="1:2" ht="30" customHeight="1" thickBot="1">
      <c r="A2" s="5" t="s">
        <v>38</v>
      </c>
      <c r="B2" s="192" t="s">
        <v>345</v>
      </c>
    </row>
    <row r="3" ht="27.75" customHeight="1" thickBot="1">
      <c r="B3" s="381"/>
    </row>
    <row r="4" spans="1:2" ht="24" customHeight="1" thickBot="1">
      <c r="A4" s="59"/>
      <c r="B4" s="61" t="s">
        <v>152</v>
      </c>
    </row>
    <row r="5" spans="1:2" ht="30.75" thickBot="1">
      <c r="A5" s="153"/>
      <c r="B5" s="175" t="s">
        <v>346</v>
      </c>
    </row>
    <row r="6" spans="1:2" ht="45.75" customHeight="1" thickBot="1">
      <c r="A6" s="153"/>
      <c r="B6" s="175" t="s">
        <v>347</v>
      </c>
    </row>
    <row r="7" spans="1:2" ht="31.5" customHeight="1" thickBot="1">
      <c r="A7" s="153"/>
      <c r="B7" s="175" t="s">
        <v>171</v>
      </c>
    </row>
    <row r="8" spans="1:2" ht="30.75" customHeight="1" thickBot="1">
      <c r="A8" s="153"/>
      <c r="B8" s="175" t="s">
        <v>150</v>
      </c>
    </row>
    <row r="9" spans="1:2" ht="48" customHeight="1">
      <c r="A9" s="176"/>
      <c r="B9" s="179" t="s">
        <v>223</v>
      </c>
    </row>
    <row r="10" spans="1:2" ht="6" customHeight="1">
      <c r="A10" s="178"/>
      <c r="B10" s="180"/>
    </row>
    <row r="11" spans="1:2" ht="15.75" customHeight="1">
      <c r="A11" s="178"/>
      <c r="B11" s="181" t="s">
        <v>181</v>
      </c>
    </row>
    <row r="12" spans="1:2" ht="5.25" customHeight="1">
      <c r="A12" s="178"/>
      <c r="B12" s="181"/>
    </row>
    <row r="13" spans="1:2" ht="16.5" customHeight="1" thickBot="1">
      <c r="A13" s="177"/>
      <c r="B13" s="182" t="s">
        <v>200</v>
      </c>
    </row>
    <row r="14" spans="1:2" ht="18.75" customHeight="1" thickBot="1">
      <c r="A14" s="153"/>
      <c r="B14" s="183" t="s">
        <v>224</v>
      </c>
    </row>
    <row r="15" spans="1:2" ht="33.75" customHeight="1" thickBot="1">
      <c r="A15" s="153"/>
      <c r="B15" s="183" t="s">
        <v>172</v>
      </c>
    </row>
    <row r="16" spans="1:2" ht="78.75" customHeight="1" thickBot="1">
      <c r="A16" s="153"/>
      <c r="B16" s="323" t="s">
        <v>299</v>
      </c>
    </row>
    <row r="17" spans="1:2" ht="30.75" thickBot="1">
      <c r="A17" s="56"/>
      <c r="B17" s="123" t="s">
        <v>145</v>
      </c>
    </row>
    <row r="18" spans="1:2" ht="15">
      <c r="A18" s="661"/>
      <c r="B18" s="73" t="s">
        <v>263</v>
      </c>
    </row>
    <row r="19" spans="1:2" ht="14.25">
      <c r="A19" s="662"/>
      <c r="B19" s="74" t="s">
        <v>285</v>
      </c>
    </row>
    <row r="20" spans="1:2" ht="14.25">
      <c r="A20" s="662"/>
      <c r="B20" s="74" t="s">
        <v>254</v>
      </c>
    </row>
    <row r="21" spans="1:2" ht="14.25">
      <c r="A21" s="662"/>
      <c r="B21" s="74" t="s">
        <v>253</v>
      </c>
    </row>
    <row r="22" spans="1:2" ht="14.25">
      <c r="A22" s="662"/>
      <c r="B22" s="74" t="s">
        <v>255</v>
      </c>
    </row>
    <row r="23" spans="1:2" ht="14.25">
      <c r="A23" s="662"/>
      <c r="B23" s="74" t="s">
        <v>256</v>
      </c>
    </row>
    <row r="24" spans="1:2" ht="14.25">
      <c r="A24" s="662"/>
      <c r="B24" s="74" t="s">
        <v>257</v>
      </c>
    </row>
    <row r="25" spans="1:2" ht="14.25">
      <c r="A25" s="662"/>
      <c r="B25" s="74" t="s">
        <v>258</v>
      </c>
    </row>
    <row r="26" spans="1:2" ht="13.5" hidden="1">
      <c r="A26" s="662"/>
      <c r="B26" s="74" t="s">
        <v>211</v>
      </c>
    </row>
    <row r="27" spans="1:2" ht="14.25">
      <c r="A27" s="662"/>
      <c r="B27" s="74" t="s">
        <v>370</v>
      </c>
    </row>
    <row r="28" spans="1:2" ht="14.25">
      <c r="A28" s="662"/>
      <c r="B28" s="185" t="s">
        <v>286</v>
      </c>
    </row>
    <row r="29" spans="1:2" ht="14.25">
      <c r="A29" s="662"/>
      <c r="B29" s="74" t="s">
        <v>259</v>
      </c>
    </row>
    <row r="30" spans="1:2" ht="14.25" customHeight="1">
      <c r="A30" s="662"/>
      <c r="B30" s="185" t="s">
        <v>260</v>
      </c>
    </row>
    <row r="31" spans="1:2" ht="14.25" customHeight="1">
      <c r="A31" s="662"/>
      <c r="B31" s="185" t="s">
        <v>261</v>
      </c>
    </row>
    <row r="32" spans="1:2" ht="15" thickBot="1">
      <c r="A32" s="663"/>
      <c r="B32" s="71" t="s">
        <v>262</v>
      </c>
    </row>
    <row r="33" spans="1:2" ht="16.5" customHeight="1" thickBot="1">
      <c r="A33" s="48"/>
      <c r="B33" s="54"/>
    </row>
    <row r="34" spans="1:2" ht="24" customHeight="1" thickBot="1">
      <c r="A34" s="59"/>
      <c r="B34" s="60" t="s">
        <v>264</v>
      </c>
    </row>
    <row r="35" spans="1:2" ht="25.5" customHeight="1" thickBot="1">
      <c r="A35" s="59"/>
      <c r="B35" s="60" t="s">
        <v>37</v>
      </c>
    </row>
    <row r="36" spans="1:2" s="515" customFormat="1" ht="85.5">
      <c r="A36" s="516"/>
      <c r="B36" s="517" t="s">
        <v>328</v>
      </c>
    </row>
    <row r="37" spans="1:2" ht="14.25">
      <c r="A37" s="72"/>
      <c r="B37" s="185"/>
    </row>
    <row r="38" spans="1:2" ht="45.75" customHeight="1">
      <c r="A38" s="72"/>
      <c r="B38" s="518" t="s">
        <v>287</v>
      </c>
    </row>
    <row r="39" spans="1:2" ht="2.25" customHeight="1">
      <c r="A39" s="72"/>
      <c r="B39" s="519"/>
    </row>
    <row r="40" spans="1:2" ht="48" customHeight="1" thickBot="1">
      <c r="A40" s="68"/>
      <c r="B40" s="520" t="s">
        <v>320</v>
      </c>
    </row>
    <row r="41" spans="1:2" ht="28.5" customHeight="1" thickBot="1">
      <c r="A41" s="59"/>
      <c r="B41" s="60" t="s">
        <v>137</v>
      </c>
    </row>
    <row r="42" spans="1:2" s="515" customFormat="1" ht="90">
      <c r="A42" s="523"/>
      <c r="B42" s="524" t="s">
        <v>329</v>
      </c>
    </row>
    <row r="43" spans="1:2" s="515" customFormat="1" ht="105">
      <c r="A43" s="523"/>
      <c r="B43" s="524" t="s">
        <v>338</v>
      </c>
    </row>
    <row r="44" spans="1:2" s="515" customFormat="1" ht="46.5" customHeight="1">
      <c r="A44" s="523"/>
      <c r="B44" s="524" t="s">
        <v>339</v>
      </c>
    </row>
    <row r="45" spans="1:2" s="515" customFormat="1" ht="75" customHeight="1">
      <c r="A45" s="523"/>
      <c r="B45" s="524" t="s">
        <v>340</v>
      </c>
    </row>
    <row r="46" spans="1:2" s="515" customFormat="1" ht="30">
      <c r="A46" s="523"/>
      <c r="B46" s="524" t="s">
        <v>341</v>
      </c>
    </row>
    <row r="47" spans="1:2" s="515" customFormat="1" ht="30">
      <c r="A47" s="523"/>
      <c r="B47" s="524" t="s">
        <v>343</v>
      </c>
    </row>
    <row r="48" spans="1:2" s="515" customFormat="1" ht="30">
      <c r="A48" s="523"/>
      <c r="B48" s="524" t="s">
        <v>342</v>
      </c>
    </row>
    <row r="49" spans="1:2" ht="12" customHeight="1">
      <c r="A49" s="48"/>
      <c r="B49" s="322"/>
    </row>
    <row r="50" spans="1:2" s="52" customFormat="1" ht="18.75" customHeight="1" thickBot="1">
      <c r="A50" s="48"/>
      <c r="B50" s="51"/>
    </row>
    <row r="51" spans="1:2" s="52" customFormat="1" ht="24.75" customHeight="1" thickBot="1">
      <c r="A51" s="59"/>
      <c r="B51" s="189" t="s">
        <v>371</v>
      </c>
    </row>
    <row r="52" spans="1:2" s="52" customFormat="1" ht="30.75" customHeight="1" thickBot="1">
      <c r="A52" s="59"/>
      <c r="B52" s="190" t="s">
        <v>367</v>
      </c>
    </row>
    <row r="53" spans="1:2" s="52" customFormat="1" ht="15.75" customHeight="1">
      <c r="A53" s="56"/>
      <c r="B53" s="124" t="s">
        <v>368</v>
      </c>
    </row>
    <row r="54" spans="1:2" s="52" customFormat="1" ht="30.75" customHeight="1">
      <c r="A54" s="72"/>
      <c r="B54" s="74" t="s">
        <v>369</v>
      </c>
    </row>
    <row r="55" spans="1:2" s="52" customFormat="1" ht="45.75" thickBot="1">
      <c r="A55" s="72"/>
      <c r="B55" s="74" t="s">
        <v>308</v>
      </c>
    </row>
    <row r="56" spans="1:2" s="52" customFormat="1" ht="13.5" customHeight="1" thickBot="1">
      <c r="A56" s="68"/>
      <c r="B56" s="125"/>
    </row>
    <row r="57" spans="1:2" s="52" customFormat="1" ht="24" customHeight="1" thickBot="1">
      <c r="A57" s="59"/>
      <c r="B57" s="75" t="s">
        <v>301</v>
      </c>
    </row>
    <row r="58" spans="1:2" s="52" customFormat="1" ht="30">
      <c r="A58" s="56"/>
      <c r="B58" s="73" t="s">
        <v>143</v>
      </c>
    </row>
    <row r="59" spans="1:2" s="52" customFormat="1" ht="15" customHeight="1">
      <c r="A59" s="72"/>
      <c r="B59" s="74" t="s">
        <v>309</v>
      </c>
    </row>
    <row r="60" spans="1:2" s="52" customFormat="1" ht="15.75" customHeight="1">
      <c r="A60" s="72"/>
      <c r="B60" s="74" t="s">
        <v>310</v>
      </c>
    </row>
    <row r="61" spans="1:2" s="52" customFormat="1" ht="15" customHeight="1" thickBot="1">
      <c r="A61" s="72"/>
      <c r="B61" s="74" t="s">
        <v>311</v>
      </c>
    </row>
    <row r="62" spans="1:2" ht="103.5" customHeight="1">
      <c r="A62" s="56"/>
      <c r="B62" s="149" t="s">
        <v>330</v>
      </c>
    </row>
    <row r="63" spans="1:2" ht="8.25" customHeight="1">
      <c r="A63" s="72"/>
      <c r="B63" s="150"/>
    </row>
    <row r="64" spans="1:2" ht="63" customHeight="1">
      <c r="A64" s="72"/>
      <c r="B64" s="512" t="s">
        <v>312</v>
      </c>
    </row>
    <row r="65" spans="1:2" ht="8.25" customHeight="1">
      <c r="A65" s="72"/>
      <c r="B65" s="150"/>
    </row>
    <row r="66" spans="1:2" ht="60.75" customHeight="1" thickBot="1">
      <c r="A66" s="68"/>
      <c r="B66" s="151" t="s">
        <v>313</v>
      </c>
    </row>
    <row r="67" spans="1:2" ht="75.75" thickBot="1">
      <c r="A67" s="68"/>
      <c r="B67" s="521" t="s">
        <v>318</v>
      </c>
    </row>
    <row r="68" spans="1:2" ht="95.25" customHeight="1" hidden="1">
      <c r="A68" s="56"/>
      <c r="B68" s="129" t="s">
        <v>219</v>
      </c>
    </row>
    <row r="69" spans="1:2" ht="6" customHeight="1" hidden="1">
      <c r="A69" s="72"/>
      <c r="B69" s="74"/>
    </row>
    <row r="70" spans="1:2" ht="153.75" customHeight="1" hidden="1">
      <c r="A70" s="68">
        <v>5</v>
      </c>
      <c r="B70" s="148" t="s">
        <v>201</v>
      </c>
    </row>
    <row r="71" spans="1:2" ht="208.5" customHeight="1" thickBot="1">
      <c r="A71" s="47"/>
      <c r="B71" s="380" t="s">
        <v>319</v>
      </c>
    </row>
    <row r="72" ht="24" customHeight="1" thickBot="1">
      <c r="B72" s="382"/>
    </row>
    <row r="73" spans="1:2" ht="24" customHeight="1" thickBot="1">
      <c r="A73" s="59"/>
      <c r="B73" s="60" t="s">
        <v>279</v>
      </c>
    </row>
    <row r="74" spans="1:2" ht="24" customHeight="1" thickBot="1">
      <c r="A74" s="59"/>
      <c r="B74" s="126" t="s">
        <v>37</v>
      </c>
    </row>
    <row r="75" spans="1:2" s="88" customFormat="1" ht="18" customHeight="1" thickBot="1">
      <c r="A75" s="156"/>
      <c r="B75" s="175" t="s">
        <v>153</v>
      </c>
    </row>
    <row r="76" spans="1:2" s="88" customFormat="1" ht="48" customHeight="1" thickBot="1">
      <c r="A76" s="153"/>
      <c r="B76" s="175" t="s">
        <v>178</v>
      </c>
    </row>
    <row r="77" spans="1:2" s="88" customFormat="1" ht="47.25" customHeight="1" thickBot="1">
      <c r="A77" s="176"/>
      <c r="B77" s="175" t="s">
        <v>182</v>
      </c>
    </row>
    <row r="78" spans="1:2" s="88" customFormat="1" ht="31.5" customHeight="1" thickBot="1">
      <c r="A78" s="176"/>
      <c r="B78" s="324" t="s">
        <v>225</v>
      </c>
    </row>
    <row r="79" spans="1:2" s="88" customFormat="1" ht="16.5" customHeight="1" thickBot="1">
      <c r="A79" s="178"/>
      <c r="B79" s="324" t="s">
        <v>213</v>
      </c>
    </row>
    <row r="80" spans="1:2" s="88" customFormat="1" ht="16.5" customHeight="1" thickBot="1">
      <c r="A80" s="178"/>
      <c r="B80" s="324" t="s">
        <v>214</v>
      </c>
    </row>
    <row r="81" spans="1:2" s="88" customFormat="1" ht="16.5" customHeight="1" thickBot="1">
      <c r="A81" s="178"/>
      <c r="B81" s="324" t="s">
        <v>217</v>
      </c>
    </row>
    <row r="82" spans="1:2" s="88" customFormat="1" ht="16.5" customHeight="1" thickBot="1">
      <c r="A82" s="178"/>
      <c r="B82" s="324" t="s">
        <v>215</v>
      </c>
    </row>
    <row r="83" spans="1:2" s="88" customFormat="1" ht="16.5" customHeight="1" thickBot="1">
      <c r="A83" s="178"/>
      <c r="B83" s="324" t="s">
        <v>218</v>
      </c>
    </row>
    <row r="84" spans="1:2" s="88" customFormat="1" ht="32.25" customHeight="1" thickBot="1">
      <c r="A84" s="177"/>
      <c r="B84" s="324" t="s">
        <v>216</v>
      </c>
    </row>
    <row r="85" spans="1:2" s="88" customFormat="1" ht="36.75" customHeight="1" thickBot="1">
      <c r="A85" s="67"/>
      <c r="B85" s="175" t="s">
        <v>183</v>
      </c>
    </row>
    <row r="86" spans="1:2" s="88" customFormat="1" ht="34.5" customHeight="1" thickBot="1">
      <c r="A86" s="156"/>
      <c r="B86" s="175" t="s">
        <v>184</v>
      </c>
    </row>
    <row r="87" spans="1:2" ht="48.75" customHeight="1" thickBot="1">
      <c r="A87" s="153"/>
      <c r="B87" s="232" t="s">
        <v>177</v>
      </c>
    </row>
    <row r="88" spans="1:2" ht="34.5" customHeight="1" thickBot="1">
      <c r="A88" s="156"/>
      <c r="B88" s="187" t="s">
        <v>185</v>
      </c>
    </row>
    <row r="89" spans="1:2" ht="36.75" customHeight="1" thickBot="1">
      <c r="A89" s="153"/>
      <c r="B89" s="188" t="s">
        <v>227</v>
      </c>
    </row>
    <row r="90" spans="1:2" ht="30" customHeight="1" thickBot="1">
      <c r="A90" s="176"/>
      <c r="B90" s="187" t="s">
        <v>154</v>
      </c>
    </row>
    <row r="91" spans="1:2" ht="36" customHeight="1" hidden="1" thickBot="1">
      <c r="A91" s="176"/>
      <c r="B91" s="227" t="s">
        <v>220</v>
      </c>
    </row>
    <row r="92" spans="1:2" ht="17.25" customHeight="1" thickBot="1">
      <c r="A92" s="176"/>
      <c r="B92" s="125" t="s">
        <v>314</v>
      </c>
    </row>
    <row r="93" spans="1:2" ht="58.5" customHeight="1" thickBot="1">
      <c r="A93" s="153"/>
      <c r="B93" s="186" t="s">
        <v>315</v>
      </c>
    </row>
    <row r="94" spans="1:2" ht="24.75" customHeight="1" thickBot="1">
      <c r="A94" s="191"/>
      <c r="B94" s="226" t="s">
        <v>156</v>
      </c>
    </row>
    <row r="95" spans="1:2" ht="0.75" customHeight="1" thickBot="1">
      <c r="A95" s="47"/>
      <c r="B95" s="53"/>
    </row>
    <row r="96" spans="1:2" ht="0.75" customHeight="1" thickBot="1">
      <c r="A96" s="47"/>
      <c r="B96" s="53"/>
    </row>
    <row r="97" spans="1:2" ht="40.5" customHeight="1" thickBot="1">
      <c r="A97" s="47"/>
      <c r="B97" s="127" t="s">
        <v>331</v>
      </c>
    </row>
    <row r="98" spans="1:2" ht="108.75" customHeight="1" thickBot="1">
      <c r="A98" s="47"/>
      <c r="B98" s="53" t="s">
        <v>332</v>
      </c>
    </row>
    <row r="99" spans="1:2" ht="62.25" customHeight="1">
      <c r="A99" s="56"/>
      <c r="B99" s="129" t="s">
        <v>316</v>
      </c>
    </row>
    <row r="100" spans="1:2" ht="12.75" customHeight="1">
      <c r="A100" s="72"/>
      <c r="B100" s="325" t="s">
        <v>157</v>
      </c>
    </row>
    <row r="101" spans="1:2" ht="12.75" customHeight="1">
      <c r="A101" s="72"/>
      <c r="B101" s="325" t="s">
        <v>158</v>
      </c>
    </row>
    <row r="102" spans="1:2" ht="12.75" customHeight="1">
      <c r="A102" s="72"/>
      <c r="B102" s="325" t="s">
        <v>159</v>
      </c>
    </row>
    <row r="103" spans="1:2" ht="12.75" customHeight="1">
      <c r="A103" s="72"/>
      <c r="B103" s="325" t="s">
        <v>323</v>
      </c>
    </row>
    <row r="104" spans="1:2" ht="12.75" customHeight="1">
      <c r="A104" s="72"/>
      <c r="B104" s="325" t="s">
        <v>321</v>
      </c>
    </row>
    <row r="105" spans="1:2" ht="48" customHeight="1">
      <c r="A105" s="72"/>
      <c r="B105" s="326" t="s">
        <v>186</v>
      </c>
    </row>
    <row r="106" spans="1:2" ht="37.5" customHeight="1">
      <c r="A106" s="72"/>
      <c r="B106" s="326" t="s">
        <v>322</v>
      </c>
    </row>
    <row r="107" spans="1:2" ht="30.75" customHeight="1">
      <c r="A107" s="72"/>
      <c r="B107" s="326" t="s">
        <v>333</v>
      </c>
    </row>
    <row r="108" spans="1:2" ht="74.25" customHeight="1">
      <c r="A108" s="72"/>
      <c r="B108" s="327" t="s">
        <v>334</v>
      </c>
    </row>
    <row r="109" spans="1:2" ht="35.25" customHeight="1">
      <c r="A109" s="72"/>
      <c r="B109" s="326" t="s">
        <v>160</v>
      </c>
    </row>
    <row r="110" spans="1:2" ht="64.5" customHeight="1" thickBot="1">
      <c r="A110" s="68"/>
      <c r="B110" s="128" t="s">
        <v>335</v>
      </c>
    </row>
    <row r="111" spans="1:3" ht="56.25" thickBot="1">
      <c r="A111" s="68"/>
      <c r="B111" s="128" t="s">
        <v>317</v>
      </c>
      <c r="C111" s="513"/>
    </row>
    <row r="112" spans="1:2" ht="20.25" customHeight="1" thickBot="1">
      <c r="A112" s="48"/>
      <c r="B112" s="52"/>
    </row>
    <row r="113" spans="1:2" ht="20.25" customHeight="1" thickBot="1">
      <c r="A113" s="59"/>
      <c r="B113" s="60" t="s">
        <v>280</v>
      </c>
    </row>
    <row r="114" spans="1:2" ht="46.5" customHeight="1" thickBot="1">
      <c r="A114" s="47"/>
      <c r="B114" s="125" t="s">
        <v>221</v>
      </c>
    </row>
    <row r="115" spans="1:2" ht="26.25" customHeight="1" thickBot="1">
      <c r="A115" s="48"/>
      <c r="B115" s="3"/>
    </row>
    <row r="116" spans="1:2" ht="24" customHeight="1" thickBot="1">
      <c r="A116" s="59"/>
      <c r="B116" s="61" t="s">
        <v>281</v>
      </c>
    </row>
    <row r="117" spans="1:2" ht="34.5" customHeight="1" thickBot="1">
      <c r="A117" s="224"/>
      <c r="B117" s="223" t="s">
        <v>179</v>
      </c>
    </row>
    <row r="118" spans="1:2" s="515" customFormat="1" ht="21" customHeight="1" thickBot="1">
      <c r="A118" s="225"/>
      <c r="B118" s="223" t="s">
        <v>180</v>
      </c>
    </row>
    <row r="119" spans="1:2" s="515" customFormat="1" ht="21.75" customHeight="1" thickBot="1">
      <c r="A119" s="224"/>
      <c r="B119" s="223" t="s">
        <v>168</v>
      </c>
    </row>
    <row r="120" spans="1:2" s="522" customFormat="1" ht="24" customHeight="1" thickBot="1">
      <c r="A120" s="224"/>
      <c r="B120" s="223" t="s">
        <v>176</v>
      </c>
    </row>
    <row r="121" spans="1:2" s="515" customFormat="1" ht="64.5" customHeight="1" thickBot="1">
      <c r="A121" s="224"/>
      <c r="B121" s="223" t="s">
        <v>336</v>
      </c>
    </row>
    <row r="122" ht="13.5">
      <c r="B122" s="1"/>
    </row>
    <row r="123" ht="14.25" thickBot="1">
      <c r="B123" s="1"/>
    </row>
    <row r="124" spans="1:2" ht="24" customHeight="1" thickBot="1">
      <c r="A124" s="59"/>
      <c r="B124" s="60" t="s">
        <v>282</v>
      </c>
    </row>
    <row r="125" spans="1:2" ht="14.25" thickBot="1">
      <c r="A125" s="47"/>
      <c r="B125" s="53" t="s">
        <v>288</v>
      </c>
    </row>
    <row r="126" ht="13.5">
      <c r="B126" s="1"/>
    </row>
  </sheetData>
  <sheetProtection formatColumns="0" formatRows="0"/>
  <mergeCells count="1">
    <mergeCell ref="A18:A32"/>
  </mergeCells>
  <printOptions/>
  <pageMargins left="0.7" right="0.7" top="0.75" bottom="0.75" header="0.3" footer="0.3"/>
  <pageSetup horizontalDpi="600" verticalDpi="600" orientation="portrait" scale="70" r:id="rId3"/>
  <legacyDrawing r:id="rId2"/>
</worksheet>
</file>

<file path=xl/worksheets/sheet10.xml><?xml version="1.0" encoding="utf-8"?>
<worksheet xmlns="http://schemas.openxmlformats.org/spreadsheetml/2006/main" xmlns:r="http://schemas.openxmlformats.org/officeDocument/2006/relationships">
  <sheetPr codeName="Sheet10"/>
  <dimension ref="A1:AO331"/>
  <sheetViews>
    <sheetView zoomScale="77" zoomScaleNormal="77" zoomScalePageLayoutView="0" workbookViewId="0" topLeftCell="A85">
      <selection activeCell="M80" sqref="M80"/>
    </sheetView>
  </sheetViews>
  <sheetFormatPr defaultColWidth="8.8515625" defaultRowHeight="12.75"/>
  <cols>
    <col min="1" max="1" width="4.57421875" style="195" customWidth="1"/>
    <col min="2" max="2" width="112.00390625" style="195" bestFit="1" customWidth="1"/>
    <col min="3" max="3" width="14.140625" style="195" hidden="1" customWidth="1"/>
    <col min="4" max="4" width="1.421875" style="195" customWidth="1"/>
    <col min="5" max="5" width="13.7109375" style="241" customWidth="1"/>
    <col min="6" max="6" width="1.421875" style="241" customWidth="1"/>
    <col min="7" max="7" width="13.57421875" style="241" customWidth="1"/>
    <col min="8" max="8" width="1.421875" style="241" customWidth="1"/>
    <col min="9" max="9" width="13.7109375" style="241" customWidth="1"/>
    <col min="10" max="10" width="1.421875" style="241" customWidth="1"/>
    <col min="11" max="11" width="13.8515625" style="241" customWidth="1"/>
    <col min="12" max="12" width="1.421875" style="241" customWidth="1"/>
    <col min="13" max="13" width="13.57421875" style="241" customWidth="1"/>
    <col min="14" max="14" width="21.57421875" style="526" customWidth="1"/>
    <col min="15" max="41" width="8.8515625" style="526" customWidth="1"/>
    <col min="42" max="16384" width="8.8515625" style="195" customWidth="1"/>
  </cols>
  <sheetData>
    <row r="1" ht="18" thickBot="1">
      <c r="B1" s="469" t="str">
        <f>'Budget with Assumptions'!A2</f>
        <v>Chicago Preparatory Charter Middle School</v>
      </c>
    </row>
    <row r="2" ht="12.75">
      <c r="B2" s="470"/>
    </row>
    <row r="3" spans="2:41" s="471" customFormat="1" ht="26.25" customHeight="1" hidden="1" thickTop="1">
      <c r="B3" s="693" t="s">
        <v>187</v>
      </c>
      <c r="E3" s="695"/>
      <c r="F3" s="472"/>
      <c r="G3" s="472"/>
      <c r="H3" s="472"/>
      <c r="I3" s="472"/>
      <c r="J3" s="472"/>
      <c r="K3" s="472"/>
      <c r="L3" s="472"/>
      <c r="M3" s="472"/>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row>
    <row r="4" spans="2:5" ht="26.25" customHeight="1" hidden="1" thickBot="1">
      <c r="B4" s="694"/>
      <c r="E4" s="696"/>
    </row>
    <row r="6" spans="3:13" ht="13.5" thickBot="1">
      <c r="C6" s="473"/>
      <c r="D6" s="473"/>
      <c r="E6" s="473"/>
      <c r="F6" s="473"/>
      <c r="G6" s="473"/>
      <c r="H6" s="473"/>
      <c r="I6" s="473"/>
      <c r="J6" s="473"/>
      <c r="K6" s="473"/>
      <c r="L6" s="473"/>
      <c r="M6" s="473"/>
    </row>
    <row r="7" spans="2:13" ht="13.5" thickBot="1">
      <c r="B7" s="242" t="str">
        <f>Instructions!B1</f>
        <v>Chicago Preparatory Charter Middle School</v>
      </c>
      <c r="C7" s="241"/>
      <c r="D7" s="241"/>
      <c r="E7" s="690" t="s">
        <v>57</v>
      </c>
      <c r="F7" s="691"/>
      <c r="G7" s="691"/>
      <c r="H7" s="691"/>
      <c r="I7" s="691"/>
      <c r="J7" s="691"/>
      <c r="K7" s="691"/>
      <c r="L7" s="691"/>
      <c r="M7" s="692"/>
    </row>
    <row r="8" spans="2:41" s="248" customFormat="1" ht="15.75" thickBot="1">
      <c r="B8" s="604" t="s">
        <v>195</v>
      </c>
      <c r="C8" s="302"/>
      <c r="D8" s="302"/>
      <c r="E8" s="385">
        <f>+'Budget with Assumptions'!L9</f>
        <v>2022</v>
      </c>
      <c r="F8" s="474"/>
      <c r="G8" s="385">
        <f>+'Budget with Assumptions'!N9</f>
        <v>2023</v>
      </c>
      <c r="H8" s="474"/>
      <c r="I8" s="385">
        <f>+'Budget with Assumptions'!P9</f>
        <v>2024</v>
      </c>
      <c r="J8" s="474"/>
      <c r="K8" s="385">
        <f>+'Budget with Assumptions'!R9</f>
        <v>2025</v>
      </c>
      <c r="L8" s="474"/>
      <c r="M8" s="385">
        <f>+'Budget with Assumptions'!T9</f>
        <v>2026</v>
      </c>
      <c r="N8" s="526"/>
      <c r="O8" s="526"/>
      <c r="P8" s="526"/>
      <c r="Q8" s="526"/>
      <c r="R8" s="526"/>
      <c r="S8" s="526"/>
      <c r="T8" s="526"/>
      <c r="U8" s="526"/>
      <c r="V8" s="526"/>
      <c r="W8" s="526"/>
      <c r="X8" s="526"/>
      <c r="Y8" s="526"/>
      <c r="Z8" s="526"/>
      <c r="AA8" s="526"/>
      <c r="AB8" s="526"/>
      <c r="AC8" s="526"/>
      <c r="AD8" s="526"/>
      <c r="AE8" s="526"/>
      <c r="AF8" s="526"/>
      <c r="AG8" s="526"/>
      <c r="AH8" s="526"/>
      <c r="AI8" s="526"/>
      <c r="AJ8" s="526"/>
      <c r="AK8" s="526"/>
      <c r="AL8" s="526"/>
      <c r="AM8" s="526"/>
      <c r="AN8" s="526"/>
      <c r="AO8" s="526"/>
    </row>
    <row r="9" spans="2:41" s="248" customFormat="1" ht="13.5" thickBot="1">
      <c r="B9" s="605" t="s">
        <v>129</v>
      </c>
      <c r="C9" s="302"/>
      <c r="D9" s="302"/>
      <c r="E9" s="606">
        <v>90</v>
      </c>
      <c r="F9" s="607"/>
      <c r="G9" s="606">
        <v>135</v>
      </c>
      <c r="H9" s="607"/>
      <c r="I9" s="606">
        <v>180</v>
      </c>
      <c r="J9" s="607"/>
      <c r="K9" s="606">
        <f>+'Revenues-SBB &amp; Non-SBB'!E40+'Revenues-SBB &amp; Non-SBB'!G40+'Revenues-SBB &amp; Non-SBB'!F40</f>
        <v>180</v>
      </c>
      <c r="L9" s="607"/>
      <c r="M9" s="606">
        <f>+'Revenues-SBB &amp; Non-SBB'!E52+'Revenues-SBB &amp; Non-SBB'!G52+'Revenues-SBB &amp; Non-SBB'!F52</f>
        <v>180</v>
      </c>
      <c r="N9" s="526"/>
      <c r="O9" s="526"/>
      <c r="P9" s="526"/>
      <c r="Q9" s="526"/>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row>
    <row r="10" spans="2:41" s="248" customFormat="1" ht="13.5" thickBot="1">
      <c r="B10" s="140" t="s">
        <v>140</v>
      </c>
      <c r="C10" s="302"/>
      <c r="D10" s="302"/>
      <c r="E10" s="500">
        <v>0.8</v>
      </c>
      <c r="F10" s="387"/>
      <c r="G10" s="500">
        <v>0.8</v>
      </c>
      <c r="H10" s="387"/>
      <c r="I10" s="500">
        <v>0.75</v>
      </c>
      <c r="J10" s="387">
        <v>0.75</v>
      </c>
      <c r="K10" s="500">
        <v>0.75</v>
      </c>
      <c r="L10" s="387"/>
      <c r="M10" s="500">
        <v>0.75</v>
      </c>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526"/>
      <c r="AK10" s="526"/>
      <c r="AL10" s="526"/>
      <c r="AM10" s="526"/>
      <c r="AN10" s="526"/>
      <c r="AO10" s="526"/>
    </row>
    <row r="11" spans="2:41" s="248" customFormat="1" ht="13.5" thickBot="1">
      <c r="B11" s="140" t="s">
        <v>141</v>
      </c>
      <c r="C11" s="302"/>
      <c r="D11" s="302"/>
      <c r="E11" s="144">
        <f>+E9*E10</f>
        <v>72</v>
      </c>
      <c r="F11" s="608"/>
      <c r="G11" s="144">
        <f>G9*G10</f>
        <v>108</v>
      </c>
      <c r="H11" s="608"/>
      <c r="I11" s="144">
        <f>I9*I10</f>
        <v>135</v>
      </c>
      <c r="J11" s="608"/>
      <c r="K11" s="144">
        <f>K9*K10</f>
        <v>135</v>
      </c>
      <c r="L11" s="608"/>
      <c r="M11" s="144">
        <f>M9*M10</f>
        <v>135</v>
      </c>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row>
    <row r="12" spans="2:41" s="248" customFormat="1" ht="13.5" thickBot="1">
      <c r="B12" s="140" t="s">
        <v>139</v>
      </c>
      <c r="C12" s="302"/>
      <c r="D12" s="302"/>
      <c r="E12" s="144">
        <f>ROUND(E11*0.6,0)</f>
        <v>43</v>
      </c>
      <c r="F12" s="608"/>
      <c r="G12" s="144">
        <f>ROUND(G11*0.6,0)</f>
        <v>65</v>
      </c>
      <c r="H12" s="608"/>
      <c r="I12" s="144">
        <f>ROUND(I11*0.6,0)</f>
        <v>81</v>
      </c>
      <c r="J12" s="608"/>
      <c r="K12" s="144">
        <f>ROUND(K11*0.6,0)</f>
        <v>81</v>
      </c>
      <c r="L12" s="608"/>
      <c r="M12" s="144">
        <f>ROUND(M11*0.6,0)</f>
        <v>81</v>
      </c>
      <c r="N12" s="526"/>
      <c r="O12" s="526"/>
      <c r="P12" s="526"/>
      <c r="Q12" s="526"/>
      <c r="R12" s="526"/>
      <c r="S12" s="526"/>
      <c r="T12" s="526"/>
      <c r="U12" s="526"/>
      <c r="V12" s="526"/>
      <c r="W12" s="526"/>
      <c r="X12" s="526"/>
      <c r="Y12" s="526"/>
      <c r="Z12" s="526"/>
      <c r="AA12" s="526"/>
      <c r="AB12" s="526"/>
      <c r="AC12" s="526"/>
      <c r="AD12" s="526"/>
      <c r="AE12" s="526"/>
      <c r="AF12" s="526"/>
      <c r="AG12" s="526"/>
      <c r="AH12" s="526"/>
      <c r="AI12" s="526"/>
      <c r="AJ12" s="526"/>
      <c r="AK12" s="526"/>
      <c r="AL12" s="526"/>
      <c r="AM12" s="526"/>
      <c r="AN12" s="526"/>
      <c r="AO12" s="526"/>
    </row>
    <row r="13" spans="2:41" s="248" customFormat="1" ht="13.5" thickBot="1">
      <c r="B13" s="140"/>
      <c r="C13" s="302"/>
      <c r="D13" s="302"/>
      <c r="E13" s="609"/>
      <c r="F13" s="607"/>
      <c r="G13" s="609"/>
      <c r="H13" s="607"/>
      <c r="I13" s="609"/>
      <c r="J13" s="607"/>
      <c r="K13" s="609"/>
      <c r="L13" s="607"/>
      <c r="M13" s="609"/>
      <c r="N13" s="526"/>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526"/>
      <c r="AL13" s="526"/>
      <c r="AM13" s="526"/>
      <c r="AN13" s="526"/>
      <c r="AO13" s="526"/>
    </row>
    <row r="14" spans="2:41" s="248" customFormat="1" ht="13.5" thickBot="1">
      <c r="B14" s="140" t="s">
        <v>138</v>
      </c>
      <c r="C14" s="302"/>
      <c r="D14" s="302"/>
      <c r="E14" s="610">
        <f>E12/E9</f>
        <v>0.4777777777777778</v>
      </c>
      <c r="F14" s="611"/>
      <c r="G14" s="610">
        <f>G12/G9</f>
        <v>0.48148148148148145</v>
      </c>
      <c r="H14" s="611"/>
      <c r="I14" s="610">
        <f>I12/I9</f>
        <v>0.45</v>
      </c>
      <c r="J14" s="611"/>
      <c r="K14" s="610">
        <f>K12/K9</f>
        <v>0.45</v>
      </c>
      <c r="L14" s="611"/>
      <c r="M14" s="610">
        <f>M12/M9</f>
        <v>0.45</v>
      </c>
      <c r="N14" s="526"/>
      <c r="O14" s="526"/>
      <c r="P14" s="526"/>
      <c r="Q14" s="526"/>
      <c r="R14" s="526"/>
      <c r="S14" s="526"/>
      <c r="T14" s="526"/>
      <c r="U14" s="526"/>
      <c r="V14" s="526"/>
      <c r="W14" s="526"/>
      <c r="X14" s="526"/>
      <c r="Y14" s="526"/>
      <c r="Z14" s="526"/>
      <c r="AA14" s="526"/>
      <c r="AB14" s="526"/>
      <c r="AC14" s="526"/>
      <c r="AD14" s="526"/>
      <c r="AE14" s="526"/>
      <c r="AF14" s="526"/>
      <c r="AG14" s="526"/>
      <c r="AH14" s="526"/>
      <c r="AI14" s="526"/>
      <c r="AJ14" s="526"/>
      <c r="AK14" s="526"/>
      <c r="AL14" s="526"/>
      <c r="AM14" s="526"/>
      <c r="AN14" s="526"/>
      <c r="AO14" s="526"/>
    </row>
    <row r="15" spans="2:41" s="248" customFormat="1" ht="13.5" thickBot="1">
      <c r="B15" s="140" t="s">
        <v>284</v>
      </c>
      <c r="C15" s="302"/>
      <c r="D15" s="302"/>
      <c r="E15" s="612">
        <f>IF(100*E14&gt;40,((ROUND((E14*100),0)-40)*23)+579,0)</f>
        <v>763</v>
      </c>
      <c r="F15" s="613"/>
      <c r="G15" s="612">
        <f>IF(100*G14&gt;40,((ROUND((G14*100),0)-40)*23)+579,0)</f>
        <v>763</v>
      </c>
      <c r="H15" s="613"/>
      <c r="I15" s="612">
        <f>IF(100*I14&gt;40,((ROUND((I14*100),0)-40)*23)+579,0)</f>
        <v>694</v>
      </c>
      <c r="J15" s="613"/>
      <c r="K15" s="612">
        <f>IF(100*K14&gt;40,((ROUND((K14*100),0)-40)*23)+579,0)</f>
        <v>694</v>
      </c>
      <c r="L15" s="613"/>
      <c r="M15" s="612">
        <f>IF(100*M14&gt;40,((ROUND((M14*100),0)-40)*23)+579,0)</f>
        <v>694</v>
      </c>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26"/>
      <c r="AL15" s="526"/>
      <c r="AM15" s="526"/>
      <c r="AN15" s="526"/>
      <c r="AO15" s="526"/>
    </row>
    <row r="16" spans="2:41" s="248" customFormat="1" ht="13.5" thickBot="1">
      <c r="B16" s="140" t="s">
        <v>142</v>
      </c>
      <c r="C16" s="302"/>
      <c r="D16" s="302"/>
      <c r="E16" s="614">
        <f>E15*E12</f>
        <v>32809</v>
      </c>
      <c r="F16" s="615"/>
      <c r="G16" s="614">
        <f>G15*G12</f>
        <v>49595</v>
      </c>
      <c r="H16" s="615"/>
      <c r="I16" s="614">
        <f>I15*I12</f>
        <v>56214</v>
      </c>
      <c r="J16" s="615"/>
      <c r="K16" s="614">
        <f>K15*K12</f>
        <v>56214</v>
      </c>
      <c r="L16" s="615"/>
      <c r="M16" s="614">
        <f>M15*M12</f>
        <v>56214</v>
      </c>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26"/>
      <c r="AK16" s="526"/>
      <c r="AL16" s="526"/>
      <c r="AM16" s="526"/>
      <c r="AN16" s="526"/>
      <c r="AO16" s="526"/>
    </row>
    <row r="17" spans="2:41" s="248" customFormat="1" ht="15">
      <c r="B17" s="616"/>
      <c r="C17" s="302"/>
      <c r="D17" s="302"/>
      <c r="E17" s="302"/>
      <c r="F17" s="302"/>
      <c r="G17" s="302"/>
      <c r="H17" s="302"/>
      <c r="I17" s="302"/>
      <c r="J17" s="302"/>
      <c r="K17" s="302"/>
      <c r="L17" s="302"/>
      <c r="M17" s="302"/>
      <c r="N17" s="526"/>
      <c r="O17" s="526"/>
      <c r="P17" s="526"/>
      <c r="Q17" s="526"/>
      <c r="R17" s="526"/>
      <c r="S17" s="526"/>
      <c r="T17" s="526"/>
      <c r="U17" s="526"/>
      <c r="V17" s="526"/>
      <c r="W17" s="526"/>
      <c r="X17" s="526"/>
      <c r="Y17" s="526"/>
      <c r="Z17" s="526"/>
      <c r="AA17" s="526"/>
      <c r="AB17" s="526"/>
      <c r="AC17" s="526"/>
      <c r="AD17" s="526"/>
      <c r="AE17" s="526"/>
      <c r="AF17" s="526"/>
      <c r="AG17" s="526"/>
      <c r="AH17" s="526"/>
      <c r="AI17" s="526"/>
      <c r="AJ17" s="526"/>
      <c r="AK17" s="526"/>
      <c r="AL17" s="526"/>
      <c r="AM17" s="526"/>
      <c r="AN17" s="526"/>
      <c r="AO17" s="526"/>
    </row>
    <row r="18" spans="2:41" s="248" customFormat="1" ht="15.75" thickBot="1">
      <c r="B18" s="616"/>
      <c r="C18" s="302"/>
      <c r="D18" s="302"/>
      <c r="E18" s="302"/>
      <c r="F18" s="302"/>
      <c r="G18" s="302"/>
      <c r="H18" s="302"/>
      <c r="I18" s="302"/>
      <c r="J18" s="302"/>
      <c r="K18" s="302"/>
      <c r="L18" s="302"/>
      <c r="M18" s="302"/>
      <c r="N18" s="526"/>
      <c r="O18" s="526"/>
      <c r="P18" s="526"/>
      <c r="Q18" s="526"/>
      <c r="R18" s="526"/>
      <c r="S18" s="526"/>
      <c r="T18" s="526"/>
      <c r="U18" s="526"/>
      <c r="V18" s="526"/>
      <c r="W18" s="526"/>
      <c r="X18" s="526"/>
      <c r="Y18" s="526"/>
      <c r="Z18" s="526"/>
      <c r="AA18" s="526"/>
      <c r="AB18" s="526"/>
      <c r="AC18" s="526"/>
      <c r="AD18" s="526"/>
      <c r="AE18" s="526"/>
      <c r="AF18" s="526"/>
      <c r="AG18" s="526"/>
      <c r="AH18" s="526"/>
      <c r="AI18" s="526"/>
      <c r="AJ18" s="526"/>
      <c r="AK18" s="526"/>
      <c r="AL18" s="526"/>
      <c r="AM18" s="526"/>
      <c r="AN18" s="526"/>
      <c r="AO18" s="526"/>
    </row>
    <row r="19" spans="2:41" s="248" customFormat="1" ht="15.75" thickBot="1">
      <c r="B19" s="604" t="s">
        <v>196</v>
      </c>
      <c r="C19" s="302"/>
      <c r="D19" s="475"/>
      <c r="E19" s="385">
        <f>+E8</f>
        <v>2022</v>
      </c>
      <c r="F19" s="117"/>
      <c r="G19" s="385">
        <f>+G8</f>
        <v>2023</v>
      </c>
      <c r="H19" s="117"/>
      <c r="I19" s="385">
        <f>+I8</f>
        <v>2024</v>
      </c>
      <c r="J19" s="117"/>
      <c r="K19" s="385">
        <f>+K8</f>
        <v>2025</v>
      </c>
      <c r="L19" s="117"/>
      <c r="M19" s="385">
        <f>+M8</f>
        <v>2026</v>
      </c>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6"/>
      <c r="AK19" s="526"/>
      <c r="AL19" s="526"/>
      <c r="AM19" s="526"/>
      <c r="AN19" s="526"/>
      <c r="AO19" s="526"/>
    </row>
    <row r="20" spans="2:41" s="248" customFormat="1" ht="12.75">
      <c r="B20" s="617" t="s">
        <v>25</v>
      </c>
      <c r="C20" s="302"/>
      <c r="D20" s="618"/>
      <c r="E20" s="144">
        <f>+E9</f>
        <v>90</v>
      </c>
      <c r="F20" s="476"/>
      <c r="G20" s="144">
        <f>+G9</f>
        <v>135</v>
      </c>
      <c r="H20" s="476"/>
      <c r="I20" s="144">
        <f>+I9</f>
        <v>180</v>
      </c>
      <c r="J20" s="476"/>
      <c r="K20" s="144">
        <f>+K9</f>
        <v>180</v>
      </c>
      <c r="L20" s="476"/>
      <c r="M20" s="144">
        <f>+M9</f>
        <v>180</v>
      </c>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526"/>
      <c r="AK20" s="526"/>
      <c r="AL20" s="526"/>
      <c r="AM20" s="526"/>
      <c r="AN20" s="526"/>
      <c r="AO20" s="526"/>
    </row>
    <row r="21" spans="2:41" s="248" customFormat="1" ht="13.5" thickBot="1">
      <c r="B21" s="619" t="s">
        <v>35</v>
      </c>
      <c r="C21" s="302"/>
      <c r="D21" s="618"/>
      <c r="E21" s="477">
        <v>70</v>
      </c>
      <c r="F21" s="478"/>
      <c r="G21" s="477">
        <f>$E$21</f>
        <v>70</v>
      </c>
      <c r="H21" s="478"/>
      <c r="I21" s="477">
        <f>$E$21</f>
        <v>70</v>
      </c>
      <c r="J21" s="478"/>
      <c r="K21" s="477">
        <f>$E$21</f>
        <v>70</v>
      </c>
      <c r="L21" s="478"/>
      <c r="M21" s="477">
        <f>$E$21</f>
        <v>70</v>
      </c>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row>
    <row r="22" spans="2:41" s="248" customFormat="1" ht="15.75" thickBot="1">
      <c r="B22" s="604" t="s">
        <v>36</v>
      </c>
      <c r="C22" s="302"/>
      <c r="D22" s="479"/>
      <c r="E22" s="240">
        <f>E20*E21</f>
        <v>6300</v>
      </c>
      <c r="F22" s="479"/>
      <c r="G22" s="240">
        <f>G20*G21</f>
        <v>9450</v>
      </c>
      <c r="H22" s="479"/>
      <c r="I22" s="240">
        <f>I20*I21</f>
        <v>12600</v>
      </c>
      <c r="J22" s="479"/>
      <c r="K22" s="240">
        <f>K20*K21</f>
        <v>12600</v>
      </c>
      <c r="L22" s="479"/>
      <c r="M22" s="240">
        <f>M20*M21</f>
        <v>12600</v>
      </c>
      <c r="N22" s="526"/>
      <c r="O22" s="526"/>
      <c r="P22" s="526"/>
      <c r="Q22" s="526"/>
      <c r="R22" s="526"/>
      <c r="S22" s="526"/>
      <c r="T22" s="526"/>
      <c r="U22" s="526"/>
      <c r="V22" s="526"/>
      <c r="W22" s="526"/>
      <c r="X22" s="526"/>
      <c r="Y22" s="526"/>
      <c r="Z22" s="526"/>
      <c r="AA22" s="526"/>
      <c r="AB22" s="526"/>
      <c r="AC22" s="526"/>
      <c r="AD22" s="526"/>
      <c r="AE22" s="526"/>
      <c r="AF22" s="526"/>
      <c r="AG22" s="526"/>
      <c r="AH22" s="526"/>
      <c r="AI22" s="526"/>
      <c r="AJ22" s="526"/>
      <c r="AK22" s="526"/>
      <c r="AL22" s="526"/>
      <c r="AM22" s="526"/>
      <c r="AN22" s="526"/>
      <c r="AO22" s="526"/>
    </row>
    <row r="23" spans="2:41" s="248" customFormat="1" ht="15" hidden="1">
      <c r="B23" s="616"/>
      <c r="C23" s="302"/>
      <c r="D23" s="302"/>
      <c r="E23" s="302"/>
      <c r="F23" s="302"/>
      <c r="G23" s="302"/>
      <c r="H23" s="302"/>
      <c r="I23" s="302"/>
      <c r="J23" s="302"/>
      <c r="K23" s="302"/>
      <c r="L23" s="302"/>
      <c r="M23" s="302"/>
      <c r="N23" s="526"/>
      <c r="O23" s="526"/>
      <c r="P23" s="526"/>
      <c r="Q23" s="526"/>
      <c r="R23" s="526"/>
      <c r="S23" s="526"/>
      <c r="T23" s="526"/>
      <c r="U23" s="526"/>
      <c r="V23" s="526"/>
      <c r="W23" s="526"/>
      <c r="X23" s="526"/>
      <c r="Y23" s="526"/>
      <c r="Z23" s="526"/>
      <c r="AA23" s="526"/>
      <c r="AB23" s="526"/>
      <c r="AC23" s="526"/>
      <c r="AD23" s="526"/>
      <c r="AE23" s="526"/>
      <c r="AF23" s="526"/>
      <c r="AG23" s="526"/>
      <c r="AH23" s="526"/>
      <c r="AI23" s="526"/>
      <c r="AJ23" s="526"/>
      <c r="AK23" s="526"/>
      <c r="AL23" s="526"/>
      <c r="AM23" s="526"/>
      <c r="AN23" s="526"/>
      <c r="AO23" s="526"/>
    </row>
    <row r="24" spans="2:41" s="248" customFormat="1" ht="15.75" hidden="1" thickBot="1">
      <c r="B24" s="616"/>
      <c r="C24" s="302"/>
      <c r="D24" s="302"/>
      <c r="E24" s="302"/>
      <c r="F24" s="302"/>
      <c r="G24" s="302"/>
      <c r="H24" s="302"/>
      <c r="I24" s="302"/>
      <c r="J24" s="302"/>
      <c r="K24" s="302"/>
      <c r="L24" s="302"/>
      <c r="M24" s="302"/>
      <c r="N24" s="526"/>
      <c r="O24" s="526"/>
      <c r="P24" s="526"/>
      <c r="Q24" s="526"/>
      <c r="R24" s="526"/>
      <c r="S24" s="526"/>
      <c r="T24" s="526"/>
      <c r="U24" s="526"/>
      <c r="V24" s="526"/>
      <c r="W24" s="526"/>
      <c r="X24" s="526"/>
      <c r="Y24" s="526"/>
      <c r="Z24" s="526"/>
      <c r="AA24" s="526"/>
      <c r="AB24" s="526"/>
      <c r="AC24" s="526"/>
      <c r="AD24" s="526"/>
      <c r="AE24" s="526"/>
      <c r="AF24" s="526"/>
      <c r="AG24" s="526"/>
      <c r="AH24" s="526"/>
      <c r="AI24" s="526"/>
      <c r="AJ24" s="526"/>
      <c r="AK24" s="526"/>
      <c r="AL24" s="526"/>
      <c r="AM24" s="526"/>
      <c r="AN24" s="526"/>
      <c r="AO24" s="526"/>
    </row>
    <row r="25" spans="2:13" ht="15.75" hidden="1" thickBot="1">
      <c r="B25" s="604" t="s">
        <v>188</v>
      </c>
      <c r="C25" s="475" t="s">
        <v>26</v>
      </c>
      <c r="D25" s="475"/>
      <c r="E25" s="117" t="e">
        <f>#REF!</f>
        <v>#REF!</v>
      </c>
      <c r="F25" s="117"/>
      <c r="G25" s="117" t="e">
        <f>#REF!</f>
        <v>#REF!</v>
      </c>
      <c r="H25" s="117"/>
      <c r="I25" s="117" t="e">
        <f>#REF!</f>
        <v>#REF!</v>
      </c>
      <c r="J25" s="117"/>
      <c r="K25" s="117" t="e">
        <f>#REF!</f>
        <v>#REF!</v>
      </c>
      <c r="L25" s="117"/>
      <c r="M25" s="117" t="e">
        <f>#REF!</f>
        <v>#REF!</v>
      </c>
    </row>
    <row r="26" spans="2:13" ht="12.75" hidden="1">
      <c r="B26" s="617" t="s">
        <v>27</v>
      </c>
      <c r="C26" s="478"/>
      <c r="D26" s="478"/>
      <c r="E26" s="144">
        <f>E80</f>
        <v>90</v>
      </c>
      <c r="F26" s="480"/>
      <c r="G26" s="144">
        <f>IF(G81="Yes",IF((G80-E80)&lt;0,0,G80-E80),0)</f>
        <v>0</v>
      </c>
      <c r="H26" s="480"/>
      <c r="I26" s="144">
        <f>IF(I81="Yes",IF((I80-G80)&lt;0,0,I80-G80),0)</f>
        <v>0</v>
      </c>
      <c r="J26" s="480"/>
      <c r="K26" s="144">
        <f>IF(K81="Yes",IF((K80-I80)&lt;0,0,K80-I80),0)</f>
        <v>0</v>
      </c>
      <c r="L26" s="480"/>
      <c r="M26" s="144">
        <f>IF(M81="Yes",IF((M80-K80)&lt;0,0,M80-K80),0)</f>
        <v>0</v>
      </c>
    </row>
    <row r="27" spans="2:13" ht="13.5" hidden="1" thickBot="1">
      <c r="B27" s="619" t="s">
        <v>28</v>
      </c>
      <c r="C27" s="620">
        <f>800*0.95</f>
        <v>760</v>
      </c>
      <c r="D27" s="620"/>
      <c r="E27" s="477">
        <f>$C$27</f>
        <v>760</v>
      </c>
      <c r="F27" s="478"/>
      <c r="G27" s="477">
        <f aca="true" t="shared" si="0" ref="G27:M27">$C$27</f>
        <v>760</v>
      </c>
      <c r="H27" s="478"/>
      <c r="I27" s="477">
        <f t="shared" si="0"/>
        <v>760</v>
      </c>
      <c r="J27" s="478"/>
      <c r="K27" s="477">
        <f t="shared" si="0"/>
        <v>760</v>
      </c>
      <c r="L27" s="478"/>
      <c r="M27" s="477">
        <f t="shared" si="0"/>
        <v>760</v>
      </c>
    </row>
    <row r="28" spans="2:13" ht="13.5" hidden="1" thickBot="1">
      <c r="B28" s="117" t="s">
        <v>189</v>
      </c>
      <c r="C28" s="479">
        <f>C26*C27</f>
        <v>0</v>
      </c>
      <c r="D28" s="479"/>
      <c r="E28" s="240">
        <f aca="true" t="shared" si="1" ref="E28:M28">E26*E27</f>
        <v>68400</v>
      </c>
      <c r="F28" s="479"/>
      <c r="G28" s="240">
        <f t="shared" si="1"/>
        <v>0</v>
      </c>
      <c r="H28" s="479"/>
      <c r="I28" s="240">
        <f t="shared" si="1"/>
        <v>0</v>
      </c>
      <c r="J28" s="479"/>
      <c r="K28" s="240">
        <f t="shared" si="1"/>
        <v>0</v>
      </c>
      <c r="L28" s="479"/>
      <c r="M28" s="240">
        <f t="shared" si="1"/>
        <v>0</v>
      </c>
    </row>
    <row r="29" spans="2:13" ht="13.5" hidden="1" thickBot="1">
      <c r="B29" s="621"/>
      <c r="C29" s="481"/>
      <c r="D29" s="481"/>
      <c r="E29" s="481"/>
      <c r="F29" s="481"/>
      <c r="G29" s="481"/>
      <c r="H29" s="481"/>
      <c r="I29" s="481"/>
      <c r="J29" s="481"/>
      <c r="K29" s="481"/>
      <c r="L29" s="481"/>
      <c r="M29" s="481"/>
    </row>
    <row r="30" spans="2:13" ht="15.75" hidden="1" thickBot="1">
      <c r="B30" s="604" t="s">
        <v>29</v>
      </c>
      <c r="C30" s="481"/>
      <c r="D30" s="481"/>
      <c r="E30" s="481"/>
      <c r="F30" s="481"/>
      <c r="G30" s="481"/>
      <c r="H30" s="481"/>
      <c r="I30" s="481"/>
      <c r="J30" s="481"/>
      <c r="K30" s="481"/>
      <c r="L30" s="481"/>
      <c r="M30" s="481"/>
    </row>
    <row r="31" spans="2:13" ht="12.75" hidden="1">
      <c r="B31" s="617" t="s">
        <v>27</v>
      </c>
      <c r="C31" s="478"/>
      <c r="D31" s="478"/>
      <c r="E31" s="144">
        <f>$E$89</f>
        <v>0</v>
      </c>
      <c r="F31" s="480"/>
      <c r="G31" s="144">
        <f>IF(G90="Yes",IF((G89-E89)&lt;0,0,G89-E89),0)</f>
        <v>0</v>
      </c>
      <c r="H31" s="480"/>
      <c r="I31" s="144">
        <f>IF(I90="Yes",IF((I89-G89)&lt;0,0,I89-G89),0)</f>
        <v>0</v>
      </c>
      <c r="J31" s="480"/>
      <c r="K31" s="144">
        <f>IF(K90="Yes",IF((K89-I89)&lt;0,0,K89-I89),0)</f>
        <v>0</v>
      </c>
      <c r="L31" s="480"/>
      <c r="M31" s="144">
        <f>IF(M90="Yes",IF((M89-K89)&lt;0,0,M89-K89),0)</f>
        <v>0</v>
      </c>
    </row>
    <row r="32" spans="2:13" ht="13.5" hidden="1" thickBot="1">
      <c r="B32" s="619" t="s">
        <v>28</v>
      </c>
      <c r="C32" s="620">
        <f>1000*0.95</f>
        <v>950</v>
      </c>
      <c r="D32" s="620"/>
      <c r="E32" s="477">
        <f>$C$32</f>
        <v>950</v>
      </c>
      <c r="F32" s="478"/>
      <c r="G32" s="477">
        <f aca="true" t="shared" si="2" ref="G32:M32">$C$32</f>
        <v>950</v>
      </c>
      <c r="H32" s="478"/>
      <c r="I32" s="477">
        <f t="shared" si="2"/>
        <v>950</v>
      </c>
      <c r="J32" s="478"/>
      <c r="K32" s="477">
        <f t="shared" si="2"/>
        <v>950</v>
      </c>
      <c r="L32" s="478"/>
      <c r="M32" s="477">
        <f t="shared" si="2"/>
        <v>950</v>
      </c>
    </row>
    <row r="33" spans="2:13" ht="13.5" hidden="1" thickBot="1">
      <c r="B33" s="117" t="s">
        <v>30</v>
      </c>
      <c r="C33" s="479">
        <f>C31*C32</f>
        <v>0</v>
      </c>
      <c r="D33" s="479"/>
      <c r="E33" s="240">
        <f>E31*E32</f>
        <v>0</v>
      </c>
      <c r="F33" s="479"/>
      <c r="G33" s="240">
        <f>G31*G32</f>
        <v>0</v>
      </c>
      <c r="H33" s="479"/>
      <c r="I33" s="240">
        <f>I31*I32</f>
        <v>0</v>
      </c>
      <c r="J33" s="479"/>
      <c r="K33" s="240">
        <f>K31*K32</f>
        <v>0</v>
      </c>
      <c r="L33" s="479"/>
      <c r="M33" s="240">
        <f>M31*M32</f>
        <v>0</v>
      </c>
    </row>
    <row r="34" spans="2:4" ht="12.75" hidden="1" thickBot="1">
      <c r="B34" s="622"/>
      <c r="C34" s="241"/>
      <c r="D34" s="241"/>
    </row>
    <row r="35" spans="2:13" ht="15.75" hidden="1" thickBot="1">
      <c r="B35" s="604" t="s">
        <v>31</v>
      </c>
      <c r="C35" s="479">
        <f>C28+C33</f>
        <v>0</v>
      </c>
      <c r="D35" s="479"/>
      <c r="E35" s="240">
        <f aca="true" t="shared" si="3" ref="E35:M35">E28+E33</f>
        <v>68400</v>
      </c>
      <c r="F35" s="479"/>
      <c r="G35" s="240">
        <f t="shared" si="3"/>
        <v>0</v>
      </c>
      <c r="H35" s="479"/>
      <c r="I35" s="240">
        <f t="shared" si="3"/>
        <v>0</v>
      </c>
      <c r="J35" s="479"/>
      <c r="K35" s="240">
        <f t="shared" si="3"/>
        <v>0</v>
      </c>
      <c r="L35" s="479"/>
      <c r="M35" s="240">
        <f t="shared" si="3"/>
        <v>0</v>
      </c>
    </row>
    <row r="36" spans="2:4" ht="12" hidden="1">
      <c r="B36" s="241"/>
      <c r="C36" s="241"/>
      <c r="D36" s="241"/>
    </row>
    <row r="37" spans="2:4" ht="12.75" thickBot="1">
      <c r="B37" s="241"/>
      <c r="C37" s="241"/>
      <c r="D37" s="241"/>
    </row>
    <row r="38" spans="2:13" ht="15.75" thickBot="1">
      <c r="B38" s="604" t="s">
        <v>265</v>
      </c>
      <c r="C38" s="376">
        <f>IF(OR($C$5="Grade Expansion",$C$5="Charter Conversion"),"Prior Fiscal Year",IF($C$4="2012 (FY13)","FY12 
Incubation",IF($C$4="2013 (FY14)","FY13 
Incubation",0)))</f>
        <v>0</v>
      </c>
      <c r="D38" s="482"/>
      <c r="E38" s="385">
        <f>+E8</f>
        <v>2022</v>
      </c>
      <c r="F38" s="117"/>
      <c r="G38" s="385">
        <f>+G8</f>
        <v>2023</v>
      </c>
      <c r="H38" s="117"/>
      <c r="I38" s="385">
        <f>+I8</f>
        <v>2024</v>
      </c>
      <c r="J38" s="117"/>
      <c r="K38" s="385">
        <f>+K8</f>
        <v>2025</v>
      </c>
      <c r="L38" s="117"/>
      <c r="M38" s="385">
        <f>+M8</f>
        <v>2026</v>
      </c>
    </row>
    <row r="39" spans="2:13" ht="15.75" thickBot="1">
      <c r="B39" s="604" t="s">
        <v>270</v>
      </c>
      <c r="C39" s="55"/>
      <c r="D39" s="473"/>
      <c r="E39" s="483"/>
      <c r="F39" s="483"/>
      <c r="G39" s="483"/>
      <c r="H39" s="483"/>
      <c r="I39" s="483"/>
      <c r="J39" s="483"/>
      <c r="K39" s="483"/>
      <c r="L39" s="483"/>
      <c r="M39" s="484"/>
    </row>
    <row r="40" spans="2:13" ht="12.75">
      <c r="B40" s="623" t="s">
        <v>277</v>
      </c>
      <c r="C40" s="624"/>
      <c r="D40" s="625"/>
      <c r="E40" s="626">
        <v>0</v>
      </c>
      <c r="F40" s="627"/>
      <c r="G40" s="501">
        <v>0</v>
      </c>
      <c r="H40" s="627"/>
      <c r="I40" s="501"/>
      <c r="J40" s="627"/>
      <c r="K40" s="501"/>
      <c r="L40" s="627"/>
      <c r="M40" s="501"/>
    </row>
    <row r="41" spans="2:13" ht="13.5" thickBot="1">
      <c r="B41" s="628" t="s">
        <v>289</v>
      </c>
      <c r="C41" s="624"/>
      <c r="D41" s="625"/>
      <c r="E41" s="629">
        <v>45000</v>
      </c>
      <c r="F41" s="485"/>
      <c r="G41" s="629">
        <v>45000</v>
      </c>
      <c r="H41" s="485"/>
      <c r="I41" s="629">
        <v>45000</v>
      </c>
      <c r="J41" s="485"/>
      <c r="K41" s="629">
        <v>45000</v>
      </c>
      <c r="L41" s="485"/>
      <c r="M41" s="630">
        <v>45000</v>
      </c>
    </row>
    <row r="42" spans="2:13" ht="13.5" thickBot="1">
      <c r="B42" s="628" t="s">
        <v>266</v>
      </c>
      <c r="C42" s="624"/>
      <c r="D42" s="631"/>
      <c r="E42" s="632">
        <f>E40*E41</f>
        <v>0</v>
      </c>
      <c r="F42" s="486"/>
      <c r="G42" s="632">
        <f>G40*G41</f>
        <v>0</v>
      </c>
      <c r="H42" s="485"/>
      <c r="I42" s="632">
        <f>I40*I41</f>
        <v>0</v>
      </c>
      <c r="J42" s="485"/>
      <c r="K42" s="632">
        <f>K40*K41</f>
        <v>0</v>
      </c>
      <c r="L42" s="485"/>
      <c r="M42" s="632">
        <f>M40*M41</f>
        <v>0</v>
      </c>
    </row>
    <row r="43" spans="2:13" ht="12.75" thickBot="1">
      <c r="B43" s="633"/>
      <c r="C43" s="624"/>
      <c r="D43" s="487"/>
      <c r="E43" s="487"/>
      <c r="F43" s="487"/>
      <c r="G43" s="487"/>
      <c r="H43" s="487"/>
      <c r="I43" s="487"/>
      <c r="J43" s="487"/>
      <c r="K43" s="487"/>
      <c r="L43" s="487"/>
      <c r="M43" s="488"/>
    </row>
    <row r="44" spans="2:13" ht="15.75" thickBot="1">
      <c r="B44" s="604" t="s">
        <v>300</v>
      </c>
      <c r="C44" s="490"/>
      <c r="D44" s="393"/>
      <c r="E44" s="489"/>
      <c r="F44" s="489"/>
      <c r="G44" s="489"/>
      <c r="H44" s="489"/>
      <c r="I44" s="489"/>
      <c r="J44" s="489"/>
      <c r="K44" s="489"/>
      <c r="L44" s="490"/>
      <c r="M44" s="491"/>
    </row>
    <row r="45" spans="2:13" ht="25.5">
      <c r="B45" s="634" t="s">
        <v>302</v>
      </c>
      <c r="C45" s="490"/>
      <c r="D45" s="625"/>
      <c r="E45" s="635">
        <v>0</v>
      </c>
      <c r="F45" s="492"/>
      <c r="G45" s="635"/>
      <c r="H45" s="492"/>
      <c r="I45" s="635"/>
      <c r="J45" s="492"/>
      <c r="K45" s="635"/>
      <c r="L45" s="492"/>
      <c r="M45" s="635"/>
    </row>
    <row r="46" spans="2:13" ht="13.5" thickBot="1">
      <c r="B46" s="628" t="s">
        <v>303</v>
      </c>
      <c r="C46" s="490"/>
      <c r="D46" s="625"/>
      <c r="E46" s="629">
        <v>353</v>
      </c>
      <c r="F46" s="492"/>
      <c r="G46" s="629">
        <v>353</v>
      </c>
      <c r="H46" s="492"/>
      <c r="I46" s="629">
        <v>353</v>
      </c>
      <c r="J46" s="492"/>
      <c r="K46" s="629">
        <v>353</v>
      </c>
      <c r="L46" s="492"/>
      <c r="M46" s="629">
        <v>353</v>
      </c>
    </row>
    <row r="47" spans="2:13" ht="13.5" thickBot="1">
      <c r="B47" s="636" t="s">
        <v>266</v>
      </c>
      <c r="C47" s="637"/>
      <c r="D47" s="638"/>
      <c r="E47" s="632">
        <f>E45*E46</f>
        <v>0</v>
      </c>
      <c r="F47" s="493"/>
      <c r="G47" s="632">
        <f>G45*G46</f>
        <v>0</v>
      </c>
      <c r="H47" s="493"/>
      <c r="I47" s="632">
        <f>I45*I46</f>
        <v>0</v>
      </c>
      <c r="J47" s="493"/>
      <c r="K47" s="632">
        <f>K45*K46</f>
        <v>0</v>
      </c>
      <c r="L47" s="493"/>
      <c r="M47" s="632">
        <f>M45*M46</f>
        <v>0</v>
      </c>
    </row>
    <row r="48" spans="2:13" ht="12.75">
      <c r="B48" s="483"/>
      <c r="C48" s="639"/>
      <c r="D48" s="640"/>
      <c r="E48" s="239"/>
      <c r="F48" s="239"/>
      <c r="G48" s="239"/>
      <c r="H48" s="239"/>
      <c r="I48" s="239"/>
      <c r="J48" s="239"/>
      <c r="K48" s="239"/>
      <c r="L48" s="239"/>
      <c r="M48" s="239"/>
    </row>
    <row r="49" spans="2:41" s="248" customFormat="1" ht="13.5" thickBot="1">
      <c r="B49" s="641"/>
      <c r="C49" s="639"/>
      <c r="D49" s="640"/>
      <c r="E49" s="239"/>
      <c r="F49" s="239"/>
      <c r="G49" s="239"/>
      <c r="H49" s="239"/>
      <c r="I49" s="239"/>
      <c r="J49" s="239"/>
      <c r="K49" s="239"/>
      <c r="L49" s="239"/>
      <c r="M49" s="239"/>
      <c r="N49" s="526"/>
      <c r="O49" s="526"/>
      <c r="P49" s="526"/>
      <c r="Q49" s="526"/>
      <c r="R49" s="526"/>
      <c r="S49" s="526"/>
      <c r="T49" s="526"/>
      <c r="U49" s="526"/>
      <c r="V49" s="526"/>
      <c r="W49" s="526"/>
      <c r="X49" s="526"/>
      <c r="Y49" s="526"/>
      <c r="Z49" s="526"/>
      <c r="AA49" s="526"/>
      <c r="AB49" s="526"/>
      <c r="AC49" s="526"/>
      <c r="AD49" s="526"/>
      <c r="AE49" s="526"/>
      <c r="AF49" s="526"/>
      <c r="AG49" s="526"/>
      <c r="AH49" s="526"/>
      <c r="AI49" s="526"/>
      <c r="AJ49" s="526"/>
      <c r="AK49" s="526"/>
      <c r="AL49" s="526"/>
      <c r="AM49" s="526"/>
      <c r="AN49" s="526"/>
      <c r="AO49" s="526"/>
    </row>
    <row r="50" spans="2:41" s="248" customFormat="1" ht="15.75" thickBot="1">
      <c r="B50" s="604" t="s">
        <v>267</v>
      </c>
      <c r="C50" s="642"/>
      <c r="D50" s="643"/>
      <c r="E50" s="377"/>
      <c r="F50" s="377"/>
      <c r="G50" s="377"/>
      <c r="H50" s="377"/>
      <c r="I50" s="377"/>
      <c r="J50" s="377"/>
      <c r="K50" s="377"/>
      <c r="L50" s="377"/>
      <c r="M50" s="378"/>
      <c r="N50" s="526"/>
      <c r="O50" s="526"/>
      <c r="P50" s="526"/>
      <c r="Q50" s="526"/>
      <c r="R50" s="526"/>
      <c r="S50" s="526"/>
      <c r="T50" s="526"/>
      <c r="U50" s="526"/>
      <c r="V50" s="526"/>
      <c r="W50" s="526"/>
      <c r="X50" s="526"/>
      <c r="Y50" s="526"/>
      <c r="Z50" s="526"/>
      <c r="AA50" s="526"/>
      <c r="AB50" s="526"/>
      <c r="AC50" s="526"/>
      <c r="AD50" s="526"/>
      <c r="AE50" s="526"/>
      <c r="AF50" s="526"/>
      <c r="AG50" s="526"/>
      <c r="AH50" s="526"/>
      <c r="AI50" s="526"/>
      <c r="AJ50" s="526"/>
      <c r="AK50" s="526"/>
      <c r="AL50" s="526"/>
      <c r="AM50" s="526"/>
      <c r="AN50" s="526"/>
      <c r="AO50" s="526"/>
    </row>
    <row r="51" spans="2:41" s="248" customFormat="1" ht="15">
      <c r="B51" s="644" t="s">
        <v>276</v>
      </c>
      <c r="C51" s="393"/>
      <c r="D51" s="640"/>
      <c r="E51" s="239"/>
      <c r="F51" s="239"/>
      <c r="G51" s="239"/>
      <c r="H51" s="239"/>
      <c r="I51" s="239"/>
      <c r="J51" s="239"/>
      <c r="K51" s="239"/>
      <c r="L51" s="239"/>
      <c r="M51" s="379"/>
      <c r="N51" s="526"/>
      <c r="O51" s="526"/>
      <c r="P51" s="526"/>
      <c r="Q51" s="526"/>
      <c r="R51" s="526"/>
      <c r="S51" s="526"/>
      <c r="T51" s="526"/>
      <c r="U51" s="526"/>
      <c r="V51" s="526"/>
      <c r="W51" s="526"/>
      <c r="X51" s="526"/>
      <c r="Y51" s="526"/>
      <c r="Z51" s="526"/>
      <c r="AA51" s="526"/>
      <c r="AB51" s="526"/>
      <c r="AC51" s="526"/>
      <c r="AD51" s="526"/>
      <c r="AE51" s="526"/>
      <c r="AF51" s="526"/>
      <c r="AG51" s="526"/>
      <c r="AH51" s="526"/>
      <c r="AI51" s="526"/>
      <c r="AJ51" s="526"/>
      <c r="AK51" s="526"/>
      <c r="AL51" s="526"/>
      <c r="AM51" s="526"/>
      <c r="AN51" s="526"/>
      <c r="AO51" s="526"/>
    </row>
    <row r="52" spans="2:13" ht="12.75">
      <c r="B52" s="623" t="s">
        <v>278</v>
      </c>
      <c r="C52" s="490"/>
      <c r="D52" s="625"/>
      <c r="E52" s="501"/>
      <c r="F52" s="492"/>
      <c r="G52" s="501"/>
      <c r="H52" s="492"/>
      <c r="I52" s="501"/>
      <c r="J52" s="492"/>
      <c r="K52" s="501"/>
      <c r="L52" s="492"/>
      <c r="M52" s="645"/>
    </row>
    <row r="53" spans="2:13" ht="13.5" thickBot="1">
      <c r="B53" s="628" t="s">
        <v>290</v>
      </c>
      <c r="C53" s="490"/>
      <c r="D53" s="625"/>
      <c r="E53" s="629">
        <v>45000</v>
      </c>
      <c r="F53" s="492"/>
      <c r="G53" s="629">
        <v>45000</v>
      </c>
      <c r="H53" s="492"/>
      <c r="I53" s="629">
        <v>45000</v>
      </c>
      <c r="J53" s="492"/>
      <c r="K53" s="629">
        <v>45000</v>
      </c>
      <c r="L53" s="492"/>
      <c r="M53" s="630">
        <v>45000</v>
      </c>
    </row>
    <row r="54" spans="2:13" ht="13.5" thickBot="1">
      <c r="B54" s="636" t="s">
        <v>266</v>
      </c>
      <c r="C54" s="490"/>
      <c r="D54" s="631"/>
      <c r="E54" s="632">
        <f>E52*E53</f>
        <v>0</v>
      </c>
      <c r="F54" s="494"/>
      <c r="G54" s="632">
        <f>G52*G53</f>
        <v>0</v>
      </c>
      <c r="H54" s="492"/>
      <c r="I54" s="632">
        <f>I52*I53</f>
        <v>0</v>
      </c>
      <c r="J54" s="492"/>
      <c r="K54" s="632">
        <f>K52*K53</f>
        <v>0</v>
      </c>
      <c r="L54" s="492"/>
      <c r="M54" s="632">
        <f>M52*M53</f>
        <v>0</v>
      </c>
    </row>
    <row r="55" spans="2:41" s="248" customFormat="1" ht="12.75">
      <c r="B55" s="633"/>
      <c r="C55" s="393"/>
      <c r="D55" s="640"/>
      <c r="E55" s="239"/>
      <c r="F55" s="239"/>
      <c r="G55" s="239"/>
      <c r="H55" s="239"/>
      <c r="I55" s="239"/>
      <c r="J55" s="239"/>
      <c r="K55" s="239"/>
      <c r="L55" s="239"/>
      <c r="M55" s="379"/>
      <c r="N55" s="526"/>
      <c r="O55" s="526"/>
      <c r="P55" s="526"/>
      <c r="Q55" s="526"/>
      <c r="R55" s="526"/>
      <c r="S55" s="526"/>
      <c r="T55" s="526"/>
      <c r="U55" s="526"/>
      <c r="V55" s="526"/>
      <c r="W55" s="526"/>
      <c r="X55" s="526"/>
      <c r="Y55" s="526"/>
      <c r="Z55" s="526"/>
      <c r="AA55" s="526"/>
      <c r="AB55" s="526"/>
      <c r="AC55" s="526"/>
      <c r="AD55" s="526"/>
      <c r="AE55" s="526"/>
      <c r="AF55" s="526"/>
      <c r="AG55" s="526"/>
      <c r="AH55" s="526"/>
      <c r="AI55" s="526"/>
      <c r="AJ55" s="526"/>
      <c r="AK55" s="526"/>
      <c r="AL55" s="526"/>
      <c r="AM55" s="526"/>
      <c r="AN55" s="526"/>
      <c r="AO55" s="526"/>
    </row>
    <row r="56" spans="2:41" s="248" customFormat="1" ht="13.5" thickBot="1">
      <c r="B56" s="633"/>
      <c r="C56" s="393"/>
      <c r="D56" s="640"/>
      <c r="E56" s="239"/>
      <c r="F56" s="239"/>
      <c r="G56" s="239"/>
      <c r="H56" s="239"/>
      <c r="I56" s="239"/>
      <c r="J56" s="239"/>
      <c r="K56" s="239"/>
      <c r="L56" s="239"/>
      <c r="M56" s="379"/>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6"/>
      <c r="AN56" s="526"/>
      <c r="AO56" s="526"/>
    </row>
    <row r="57" spans="2:13" ht="15.75" thickBot="1">
      <c r="B57" s="604" t="s">
        <v>271</v>
      </c>
      <c r="C57" s="490"/>
      <c r="D57" s="490"/>
      <c r="E57" s="481"/>
      <c r="F57" s="481"/>
      <c r="G57" s="481"/>
      <c r="H57" s="481"/>
      <c r="I57" s="481"/>
      <c r="J57" s="481"/>
      <c r="K57" s="481"/>
      <c r="L57" s="481"/>
      <c r="M57" s="495"/>
    </row>
    <row r="58" spans="2:13" ht="25.5">
      <c r="B58" s="634" t="s">
        <v>268</v>
      </c>
      <c r="C58" s="490"/>
      <c r="D58" s="625"/>
      <c r="E58" s="635">
        <v>0</v>
      </c>
      <c r="F58" s="492"/>
      <c r="G58" s="635"/>
      <c r="H58" s="492"/>
      <c r="I58" s="635"/>
      <c r="J58" s="492"/>
      <c r="K58" s="635"/>
      <c r="L58" s="492"/>
      <c r="M58" s="646"/>
    </row>
    <row r="59" spans="2:13" ht="12.75">
      <c r="B59" s="628" t="s">
        <v>269</v>
      </c>
      <c r="C59" s="490"/>
      <c r="D59" s="625"/>
      <c r="E59" s="647">
        <v>116</v>
      </c>
      <c r="F59" s="492"/>
      <c r="G59" s="647">
        <v>116</v>
      </c>
      <c r="H59" s="492"/>
      <c r="I59" s="647">
        <v>116</v>
      </c>
      <c r="J59" s="492"/>
      <c r="K59" s="647">
        <v>116</v>
      </c>
      <c r="L59" s="492"/>
      <c r="M59" s="647">
        <v>116</v>
      </c>
    </row>
    <row r="60" spans="2:13" ht="13.5" thickBot="1">
      <c r="B60" s="636" t="s">
        <v>266</v>
      </c>
      <c r="C60" s="637"/>
      <c r="D60" s="648"/>
      <c r="E60" s="649">
        <f>E58*E59</f>
        <v>0</v>
      </c>
      <c r="F60" s="496"/>
      <c r="G60" s="649">
        <f>G58*G59</f>
        <v>0</v>
      </c>
      <c r="H60" s="496"/>
      <c r="I60" s="649">
        <f>I58*I59</f>
        <v>0</v>
      </c>
      <c r="J60" s="496"/>
      <c r="K60" s="649">
        <f>K58*K59</f>
        <v>0</v>
      </c>
      <c r="L60" s="496"/>
      <c r="M60" s="650">
        <f>M58*M59</f>
        <v>0</v>
      </c>
    </row>
    <row r="61" spans="2:4" ht="12">
      <c r="B61" s="241"/>
      <c r="C61" s="241"/>
      <c r="D61" s="241"/>
    </row>
    <row r="62" spans="2:4" ht="12.75" thickBot="1">
      <c r="B62" s="241"/>
      <c r="C62" s="241"/>
      <c r="D62" s="241"/>
    </row>
    <row r="63" spans="2:4" ht="15.75" thickBot="1">
      <c r="B63" s="604" t="s">
        <v>274</v>
      </c>
      <c r="C63" s="241"/>
      <c r="D63" s="241"/>
    </row>
    <row r="64" spans="2:13" ht="14.25" thickBot="1">
      <c r="B64" s="651" t="s">
        <v>272</v>
      </c>
      <c r="C64" s="241"/>
      <c r="D64" s="241"/>
      <c r="E64" s="652">
        <f>E42+E47</f>
        <v>0</v>
      </c>
      <c r="G64" s="652">
        <f>G42+G47</f>
        <v>0</v>
      </c>
      <c r="I64" s="652">
        <f>I42+I47</f>
        <v>0</v>
      </c>
      <c r="K64" s="652">
        <f>K42+K47</f>
        <v>0</v>
      </c>
      <c r="M64" s="652">
        <f>M42+M47</f>
        <v>0</v>
      </c>
    </row>
    <row r="65" spans="2:13" ht="14.25" thickBot="1">
      <c r="B65" s="651" t="s">
        <v>273</v>
      </c>
      <c r="C65" s="241"/>
      <c r="D65" s="241"/>
      <c r="E65" s="653">
        <f>E54+E60</f>
        <v>0</v>
      </c>
      <c r="G65" s="653">
        <f>G54+G60</f>
        <v>0</v>
      </c>
      <c r="I65" s="653">
        <f>I54+I60</f>
        <v>0</v>
      </c>
      <c r="K65" s="653">
        <f>K54+K60</f>
        <v>0</v>
      </c>
      <c r="M65" s="653">
        <f>M54+M60</f>
        <v>0</v>
      </c>
    </row>
    <row r="66" spans="2:13" ht="14.25" thickBot="1">
      <c r="B66" s="654" t="s">
        <v>275</v>
      </c>
      <c r="C66" s="241"/>
      <c r="D66" s="241"/>
      <c r="E66" s="240">
        <f>SUM(E64:E65)</f>
        <v>0</v>
      </c>
      <c r="G66" s="240">
        <f>SUM(G64:G65)</f>
        <v>0</v>
      </c>
      <c r="I66" s="240">
        <f>SUM(I64:I65)</f>
        <v>0</v>
      </c>
      <c r="K66" s="240">
        <f>SUM(K64:K65)</f>
        <v>0</v>
      </c>
      <c r="M66" s="240">
        <f>SUM(M64:M65)</f>
        <v>0</v>
      </c>
    </row>
    <row r="67" spans="2:4" ht="12.75" thickBot="1">
      <c r="B67" s="241"/>
      <c r="C67" s="241"/>
      <c r="D67" s="241"/>
    </row>
    <row r="68" spans="2:13" ht="13.5" thickBot="1">
      <c r="B68" s="690" t="s">
        <v>70</v>
      </c>
      <c r="C68" s="691"/>
      <c r="D68" s="691"/>
      <c r="E68" s="691"/>
      <c r="F68" s="691"/>
      <c r="G68" s="691"/>
      <c r="H68" s="691"/>
      <c r="I68" s="691"/>
      <c r="J68" s="691"/>
      <c r="K68" s="691"/>
      <c r="L68" s="691"/>
      <c r="M68" s="692"/>
    </row>
    <row r="69" spans="2:4" ht="13.5" thickBot="1">
      <c r="B69" s="242"/>
      <c r="C69" s="241"/>
      <c r="D69" s="241"/>
    </row>
    <row r="70" spans="2:13" ht="13.5" thickBot="1">
      <c r="B70" s="117" t="s">
        <v>87</v>
      </c>
      <c r="C70" s="241"/>
      <c r="D70" s="241"/>
      <c r="E70" s="385">
        <f>+E8</f>
        <v>2022</v>
      </c>
      <c r="G70" s="385">
        <f>+G8</f>
        <v>2023</v>
      </c>
      <c r="I70" s="385">
        <f>+I8</f>
        <v>2024</v>
      </c>
      <c r="K70" s="385">
        <f>+K8</f>
        <v>2025</v>
      </c>
      <c r="M70" s="385">
        <f>+M8</f>
        <v>2026</v>
      </c>
    </row>
    <row r="71" spans="2:13" ht="13.5" thickBot="1">
      <c r="B71" s="141" t="s">
        <v>83</v>
      </c>
      <c r="C71" s="241"/>
      <c r="D71" s="241"/>
      <c r="E71" s="502"/>
      <c r="F71" s="242"/>
      <c r="G71" s="502"/>
      <c r="H71" s="386"/>
      <c r="I71" s="502"/>
      <c r="J71" s="386"/>
      <c r="K71" s="502"/>
      <c r="L71" s="386"/>
      <c r="M71" s="502"/>
    </row>
    <row r="72" spans="2:13" ht="13.5" thickBot="1">
      <c r="B72" s="142" t="s">
        <v>71</v>
      </c>
      <c r="C72" s="241"/>
      <c r="D72" s="241"/>
      <c r="E72" s="502"/>
      <c r="F72" s="242"/>
      <c r="G72" s="502"/>
      <c r="H72" s="386"/>
      <c r="I72" s="502"/>
      <c r="J72" s="386"/>
      <c r="K72" s="502"/>
      <c r="L72" s="386"/>
      <c r="M72" s="502"/>
    </row>
    <row r="73" spans="2:13" ht="13.5" thickBot="1">
      <c r="B73" s="142" t="s">
        <v>72</v>
      </c>
      <c r="C73" s="241"/>
      <c r="D73" s="241"/>
      <c r="E73" s="502"/>
      <c r="F73" s="242"/>
      <c r="G73" s="502"/>
      <c r="H73" s="386"/>
      <c r="I73" s="502"/>
      <c r="J73" s="386"/>
      <c r="K73" s="502"/>
      <c r="L73" s="386"/>
      <c r="M73" s="502"/>
    </row>
    <row r="74" spans="2:13" ht="13.5" thickBot="1">
      <c r="B74" s="142" t="s">
        <v>73</v>
      </c>
      <c r="C74" s="241"/>
      <c r="D74" s="241"/>
      <c r="E74" s="502"/>
      <c r="F74" s="242"/>
      <c r="G74" s="502"/>
      <c r="H74" s="386"/>
      <c r="I74" s="502"/>
      <c r="J74" s="386"/>
      <c r="K74" s="502"/>
      <c r="L74" s="386"/>
      <c r="M74" s="502"/>
    </row>
    <row r="75" spans="2:13" ht="13.5" thickBot="1">
      <c r="B75" s="142" t="s">
        <v>74</v>
      </c>
      <c r="C75" s="241"/>
      <c r="D75" s="241"/>
      <c r="E75" s="503"/>
      <c r="F75" s="242"/>
      <c r="G75" s="503"/>
      <c r="H75" s="386"/>
      <c r="I75" s="503"/>
      <c r="J75" s="386"/>
      <c r="K75" s="503"/>
      <c r="L75" s="386"/>
      <c r="M75" s="503"/>
    </row>
    <row r="76" spans="2:13" ht="13.5" thickBot="1">
      <c r="B76" s="142" t="s">
        <v>75</v>
      </c>
      <c r="C76" s="241"/>
      <c r="D76" s="241"/>
      <c r="E76" s="503">
        <v>45</v>
      </c>
      <c r="F76" s="242"/>
      <c r="G76" s="503">
        <v>45</v>
      </c>
      <c r="H76" s="386"/>
      <c r="I76" s="503">
        <v>45</v>
      </c>
      <c r="J76" s="386"/>
      <c r="K76" s="503">
        <v>45</v>
      </c>
      <c r="L76" s="386"/>
      <c r="M76" s="503">
        <v>45</v>
      </c>
    </row>
    <row r="77" spans="2:13" ht="13.5" thickBot="1">
      <c r="B77" s="142" t="s">
        <v>76</v>
      </c>
      <c r="C77" s="241"/>
      <c r="D77" s="241"/>
      <c r="E77" s="503">
        <v>45</v>
      </c>
      <c r="F77" s="242"/>
      <c r="G77" s="503">
        <v>45</v>
      </c>
      <c r="H77" s="386"/>
      <c r="I77" s="503">
        <v>45</v>
      </c>
      <c r="J77" s="386"/>
      <c r="K77" s="503">
        <v>45</v>
      </c>
      <c r="L77" s="386"/>
      <c r="M77" s="503">
        <v>45</v>
      </c>
    </row>
    <row r="78" spans="2:13" ht="13.5" thickBot="1">
      <c r="B78" s="142" t="s">
        <v>77</v>
      </c>
      <c r="C78" s="241"/>
      <c r="D78" s="241"/>
      <c r="E78" s="503"/>
      <c r="F78" s="242"/>
      <c r="G78" s="503">
        <v>45</v>
      </c>
      <c r="H78" s="386"/>
      <c r="I78" s="503">
        <v>45</v>
      </c>
      <c r="J78" s="386"/>
      <c r="K78" s="503">
        <v>45</v>
      </c>
      <c r="L78" s="386"/>
      <c r="M78" s="503">
        <v>45</v>
      </c>
    </row>
    <row r="79" spans="2:13" ht="13.5" thickBot="1">
      <c r="B79" s="142" t="s">
        <v>78</v>
      </c>
      <c r="C79" s="241"/>
      <c r="D79" s="241"/>
      <c r="E79" s="503"/>
      <c r="F79" s="242"/>
      <c r="G79" s="503"/>
      <c r="H79" s="386"/>
      <c r="I79" s="503">
        <v>45</v>
      </c>
      <c r="J79" s="386"/>
      <c r="K79" s="503">
        <v>45</v>
      </c>
      <c r="L79" s="386"/>
      <c r="M79" s="503">
        <v>45</v>
      </c>
    </row>
    <row r="80" spans="2:14" ht="38.25" thickBot="1">
      <c r="B80" s="117" t="s">
        <v>84</v>
      </c>
      <c r="C80" s="241"/>
      <c r="D80" s="241"/>
      <c r="E80" s="140">
        <f>SUM(E71:E79)</f>
        <v>90</v>
      </c>
      <c r="F80" s="242"/>
      <c r="G80" s="140">
        <f>SUM(G71:G79)</f>
        <v>135</v>
      </c>
      <c r="H80" s="242"/>
      <c r="I80" s="140">
        <f>SUM(I71:I79)</f>
        <v>180</v>
      </c>
      <c r="J80" s="242"/>
      <c r="K80" s="140">
        <f>SUM(K71:K79)</f>
        <v>180</v>
      </c>
      <c r="L80" s="242"/>
      <c r="M80" s="140">
        <f>SUM(M71:M79)</f>
        <v>180</v>
      </c>
      <c r="N80" s="527" t="s">
        <v>306</v>
      </c>
    </row>
    <row r="81" spans="2:13" ht="13.5" thickBot="1">
      <c r="B81" s="655" t="s">
        <v>132</v>
      </c>
      <c r="C81" s="241"/>
      <c r="D81" s="241"/>
      <c r="E81" s="140" t="s">
        <v>92</v>
      </c>
      <c r="F81" s="497"/>
      <c r="G81" s="498"/>
      <c r="H81" s="497"/>
      <c r="I81" s="498"/>
      <c r="J81" s="497"/>
      <c r="K81" s="498"/>
      <c r="L81" s="497"/>
      <c r="M81" s="498"/>
    </row>
    <row r="82" spans="2:13" ht="12.75">
      <c r="B82" s="656"/>
      <c r="C82" s="241"/>
      <c r="D82" s="241"/>
      <c r="E82" s="473"/>
      <c r="F82" s="242"/>
      <c r="G82" s="242"/>
      <c r="H82" s="242"/>
      <c r="I82" s="242"/>
      <c r="J82" s="242"/>
      <c r="K82" s="242"/>
      <c r="L82" s="242"/>
      <c r="M82" s="242"/>
    </row>
    <row r="83" spans="2:13" ht="13.5" thickBot="1">
      <c r="B83" s="499"/>
      <c r="C83" s="241"/>
      <c r="D83" s="241"/>
      <c r="E83" s="242"/>
      <c r="F83" s="242"/>
      <c r="G83" s="242"/>
      <c r="H83" s="242"/>
      <c r="I83" s="242"/>
      <c r="J83" s="242"/>
      <c r="K83" s="242"/>
      <c r="L83" s="242"/>
      <c r="M83" s="242"/>
    </row>
    <row r="84" spans="1:13" ht="13.5" thickBot="1">
      <c r="A84" s="69"/>
      <c r="B84" s="143" t="s">
        <v>88</v>
      </c>
      <c r="C84" s="490"/>
      <c r="D84" s="490"/>
      <c r="E84" s="385">
        <f>+E8</f>
        <v>2022</v>
      </c>
      <c r="F84" s="242"/>
      <c r="G84" s="385">
        <f>+G8</f>
        <v>2023</v>
      </c>
      <c r="H84" s="242"/>
      <c r="I84" s="385">
        <f>+I8</f>
        <v>2024</v>
      </c>
      <c r="J84" s="242"/>
      <c r="K84" s="385">
        <f>+K8</f>
        <v>2025</v>
      </c>
      <c r="L84" s="242"/>
      <c r="M84" s="385">
        <f>+M8</f>
        <v>2026</v>
      </c>
    </row>
    <row r="85" spans="2:13" ht="13.5" thickBot="1">
      <c r="B85" s="142" t="s">
        <v>79</v>
      </c>
      <c r="C85" s="241"/>
      <c r="D85" s="241"/>
      <c r="E85" s="503"/>
      <c r="F85" s="242"/>
      <c r="G85" s="503"/>
      <c r="H85" s="386"/>
      <c r="I85" s="503"/>
      <c r="J85" s="386"/>
      <c r="K85" s="503"/>
      <c r="L85" s="386"/>
      <c r="M85" s="503"/>
    </row>
    <row r="86" spans="2:13" ht="13.5" thickBot="1">
      <c r="B86" s="142" t="s">
        <v>80</v>
      </c>
      <c r="C86" s="241"/>
      <c r="D86" s="241"/>
      <c r="E86" s="503"/>
      <c r="F86" s="242"/>
      <c r="G86" s="503"/>
      <c r="H86" s="386"/>
      <c r="I86" s="503"/>
      <c r="J86" s="386"/>
      <c r="K86" s="503"/>
      <c r="L86" s="386"/>
      <c r="M86" s="503"/>
    </row>
    <row r="87" spans="2:13" ht="13.5" thickBot="1">
      <c r="B87" s="142" t="s">
        <v>81</v>
      </c>
      <c r="C87" s="241"/>
      <c r="D87" s="241"/>
      <c r="E87" s="503"/>
      <c r="F87" s="242"/>
      <c r="G87" s="503"/>
      <c r="H87" s="386"/>
      <c r="I87" s="503"/>
      <c r="J87" s="386"/>
      <c r="K87" s="503"/>
      <c r="L87" s="386"/>
      <c r="M87" s="503"/>
    </row>
    <row r="88" spans="2:13" ht="13.5" thickBot="1">
      <c r="B88" s="142" t="s">
        <v>82</v>
      </c>
      <c r="C88" s="241"/>
      <c r="D88" s="241"/>
      <c r="E88" s="503"/>
      <c r="F88" s="242"/>
      <c r="G88" s="503"/>
      <c r="H88" s="386"/>
      <c r="I88" s="503"/>
      <c r="J88" s="386"/>
      <c r="K88" s="503"/>
      <c r="L88" s="386"/>
      <c r="M88" s="503"/>
    </row>
    <row r="89" spans="2:13" ht="13.5" thickBot="1">
      <c r="B89" s="140" t="s">
        <v>86</v>
      </c>
      <c r="C89" s="241"/>
      <c r="D89" s="241"/>
      <c r="E89" s="140">
        <f>SUM(E85:E88)</f>
        <v>0</v>
      </c>
      <c r="F89" s="242"/>
      <c r="G89" s="140">
        <f>SUM(G85:G88)</f>
        <v>0</v>
      </c>
      <c r="H89" s="242"/>
      <c r="I89" s="140">
        <f>SUM(I85:I88)</f>
        <v>0</v>
      </c>
      <c r="J89" s="242"/>
      <c r="K89" s="140">
        <f>SUM(M85:M88)</f>
        <v>0</v>
      </c>
      <c r="L89" s="242"/>
      <c r="M89" s="140">
        <f>SUM(M85:M88)</f>
        <v>0</v>
      </c>
    </row>
    <row r="90" spans="2:13" ht="13.5" thickBot="1">
      <c r="B90" s="655" t="s">
        <v>133</v>
      </c>
      <c r="C90" s="241"/>
      <c r="D90" s="241"/>
      <c r="E90" s="140" t="s">
        <v>92</v>
      </c>
      <c r="F90" s="497"/>
      <c r="G90" s="498"/>
      <c r="H90" s="497"/>
      <c r="I90" s="498"/>
      <c r="J90" s="497"/>
      <c r="K90" s="498"/>
      <c r="L90" s="497"/>
      <c r="M90" s="498"/>
    </row>
    <row r="91" spans="2:13" ht="13.5" thickBot="1">
      <c r="B91" s="657"/>
      <c r="C91" s="241"/>
      <c r="D91" s="241"/>
      <c r="E91" s="242"/>
      <c r="F91" s="242"/>
      <c r="G91" s="242"/>
      <c r="H91" s="242"/>
      <c r="I91" s="242"/>
      <c r="J91" s="242"/>
      <c r="K91" s="242"/>
      <c r="L91" s="242"/>
      <c r="M91" s="242">
        <f>+A45</f>
        <v>0</v>
      </c>
    </row>
    <row r="92" spans="2:13" ht="13.5" thickBot="1">
      <c r="B92" s="117" t="s">
        <v>25</v>
      </c>
      <c r="C92" s="241"/>
      <c r="D92" s="658"/>
      <c r="E92" s="140">
        <f>E80+E89</f>
        <v>90</v>
      </c>
      <c r="F92" s="242"/>
      <c r="G92" s="140">
        <f>G80+G89</f>
        <v>135</v>
      </c>
      <c r="H92" s="242"/>
      <c r="I92" s="140">
        <f>I80+I89</f>
        <v>180</v>
      </c>
      <c r="J92" s="242"/>
      <c r="K92" s="140">
        <f>K80+K89</f>
        <v>180</v>
      </c>
      <c r="L92" s="242"/>
      <c r="M92" s="140">
        <f>M80+M89</f>
        <v>180</v>
      </c>
    </row>
    <row r="93" spans="2:13" ht="12.75">
      <c r="B93" s="659" t="s">
        <v>307</v>
      </c>
      <c r="C93" s="241"/>
      <c r="D93" s="241"/>
      <c r="E93" s="242">
        <f>+E92-'Revenues-SBB &amp; Non-SBB'!E63-'Revenues-SBB &amp; Non-SBB'!G63</f>
        <v>90</v>
      </c>
      <c r="F93" s="242"/>
      <c r="G93" s="242">
        <f>+G92-'Revenues-SBB &amp; Non-SBB'!E16-'Revenues-SBB &amp; Non-SBB'!G16</f>
        <v>135</v>
      </c>
      <c r="H93" s="242"/>
      <c r="I93" s="242">
        <f>+I92-'Revenues-SBB &amp; Non-SBB'!E28-'Revenues-SBB &amp; Non-SBB'!G28</f>
        <v>180</v>
      </c>
      <c r="J93" s="242"/>
      <c r="K93" s="242">
        <f>+K92-'Revenues-SBB &amp; Non-SBB'!E40-'Revenues-SBB &amp; Non-SBB'!G40</f>
        <v>180</v>
      </c>
      <c r="L93" s="242"/>
      <c r="M93" s="242">
        <f>+M92-'Revenues-SBB &amp; Non-SBB'!E52-'Revenues-SBB &amp; Non-SBB'!G52</f>
        <v>180</v>
      </c>
    </row>
    <row r="94" ht="60.75" customHeight="1" hidden="1" thickBot="1"/>
    <row r="95" ht="18.75" customHeight="1" hidden="1" thickBot="1">
      <c r="B95" s="114" t="s">
        <v>85</v>
      </c>
    </row>
    <row r="96" ht="18.75" customHeight="1" hidden="1" thickBot="1">
      <c r="B96" s="114" t="s">
        <v>89</v>
      </c>
    </row>
    <row r="97" ht="60.75" customHeight="1" hidden="1"/>
    <row r="98" ht="60.75" customHeight="1" hidden="1">
      <c r="B98" s="195">
        <v>1</v>
      </c>
    </row>
    <row r="99" ht="60.75" customHeight="1" hidden="1">
      <c r="B99" s="195">
        <v>0</v>
      </c>
    </row>
    <row r="100" ht="60.75" customHeight="1" hidden="1">
      <c r="B100" s="195">
        <v>0</v>
      </c>
    </row>
    <row r="101" spans="2:5" ht="60.75" customHeight="1" hidden="1">
      <c r="B101" s="510">
        <v>1</v>
      </c>
      <c r="E101" s="241">
        <v>0</v>
      </c>
    </row>
    <row r="102" spans="2:5" ht="60.75" customHeight="1" hidden="1">
      <c r="B102" s="510">
        <v>20</v>
      </c>
      <c r="E102" s="241">
        <f>B102</f>
        <v>20</v>
      </c>
    </row>
    <row r="103" spans="2:5" ht="60.75" customHeight="1" hidden="1">
      <c r="B103" s="510">
        <v>21</v>
      </c>
      <c r="E103" s="241">
        <f aca="true" t="shared" si="4" ref="E103:E166">B103</f>
        <v>21</v>
      </c>
    </row>
    <row r="104" spans="2:5" ht="60.75" customHeight="1" hidden="1">
      <c r="B104" s="510">
        <v>22</v>
      </c>
      <c r="E104" s="241">
        <f t="shared" si="4"/>
        <v>22</v>
      </c>
    </row>
    <row r="105" spans="2:5" ht="60.75" customHeight="1" hidden="1">
      <c r="B105" s="510">
        <v>23</v>
      </c>
      <c r="E105" s="241">
        <f t="shared" si="4"/>
        <v>23</v>
      </c>
    </row>
    <row r="106" spans="2:5" ht="60.75" customHeight="1" hidden="1">
      <c r="B106" s="510">
        <v>24</v>
      </c>
      <c r="E106" s="241">
        <f t="shared" si="4"/>
        <v>24</v>
      </c>
    </row>
    <row r="107" spans="2:5" ht="60.75" customHeight="1" hidden="1">
      <c r="B107" s="510">
        <v>25</v>
      </c>
      <c r="E107" s="241">
        <f t="shared" si="4"/>
        <v>25</v>
      </c>
    </row>
    <row r="108" spans="2:5" ht="60.75" customHeight="1" hidden="1">
      <c r="B108" s="510">
        <v>26</v>
      </c>
      <c r="E108" s="241">
        <f t="shared" si="4"/>
        <v>26</v>
      </c>
    </row>
    <row r="109" spans="2:5" ht="60.75" customHeight="1" hidden="1">
      <c r="B109" s="510">
        <v>27</v>
      </c>
      <c r="E109" s="241">
        <f t="shared" si="4"/>
        <v>27</v>
      </c>
    </row>
    <row r="110" spans="2:5" ht="60.75" customHeight="1" hidden="1">
      <c r="B110" s="510">
        <v>28</v>
      </c>
      <c r="E110" s="241">
        <f t="shared" si="4"/>
        <v>28</v>
      </c>
    </row>
    <row r="111" spans="2:5" ht="60.75" customHeight="1" hidden="1">
      <c r="B111" s="510">
        <v>29</v>
      </c>
      <c r="E111" s="241">
        <f t="shared" si="4"/>
        <v>29</v>
      </c>
    </row>
    <row r="112" spans="2:5" ht="60.75" customHeight="1" hidden="1">
      <c r="B112" s="510">
        <v>30</v>
      </c>
      <c r="E112" s="241">
        <f t="shared" si="4"/>
        <v>30</v>
      </c>
    </row>
    <row r="113" spans="2:5" ht="60.75" customHeight="1" hidden="1">
      <c r="B113" s="510">
        <v>31</v>
      </c>
      <c r="E113" s="241">
        <f t="shared" si="4"/>
        <v>31</v>
      </c>
    </row>
    <row r="114" spans="2:5" ht="60.75" customHeight="1" hidden="1">
      <c r="B114" s="510">
        <v>32</v>
      </c>
      <c r="E114" s="241">
        <f t="shared" si="4"/>
        <v>32</v>
      </c>
    </row>
    <row r="115" spans="2:5" ht="60.75" customHeight="1" hidden="1">
      <c r="B115" s="510">
        <v>33</v>
      </c>
      <c r="E115" s="241">
        <f t="shared" si="4"/>
        <v>33</v>
      </c>
    </row>
    <row r="116" spans="2:5" ht="60.75" customHeight="1" hidden="1">
      <c r="B116" s="510">
        <v>34</v>
      </c>
      <c r="E116" s="241">
        <f t="shared" si="4"/>
        <v>34</v>
      </c>
    </row>
    <row r="117" spans="2:5" ht="60.75" customHeight="1" hidden="1">
      <c r="B117" s="510">
        <v>35</v>
      </c>
      <c r="E117" s="241">
        <f t="shared" si="4"/>
        <v>35</v>
      </c>
    </row>
    <row r="118" spans="2:5" ht="60.75" customHeight="1" hidden="1">
      <c r="B118" s="510">
        <v>36</v>
      </c>
      <c r="E118" s="241">
        <f t="shared" si="4"/>
        <v>36</v>
      </c>
    </row>
    <row r="119" spans="2:5" ht="60.75" customHeight="1" hidden="1">
      <c r="B119" s="510">
        <v>37</v>
      </c>
      <c r="E119" s="241">
        <f t="shared" si="4"/>
        <v>37</v>
      </c>
    </row>
    <row r="120" spans="2:5" ht="60.75" customHeight="1" hidden="1">
      <c r="B120" s="510">
        <v>38</v>
      </c>
      <c r="E120" s="241">
        <f t="shared" si="4"/>
        <v>38</v>
      </c>
    </row>
    <row r="121" spans="2:5" ht="60.75" customHeight="1" hidden="1">
      <c r="B121" s="510">
        <v>39</v>
      </c>
      <c r="E121" s="241">
        <f t="shared" si="4"/>
        <v>39</v>
      </c>
    </row>
    <row r="122" spans="2:5" ht="60.75" customHeight="1" hidden="1">
      <c r="B122" s="510">
        <v>40</v>
      </c>
      <c r="E122" s="241">
        <f t="shared" si="4"/>
        <v>40</v>
      </c>
    </row>
    <row r="123" spans="2:5" ht="60.75" customHeight="1" hidden="1">
      <c r="B123" s="510">
        <v>41</v>
      </c>
      <c r="E123" s="241">
        <f t="shared" si="4"/>
        <v>41</v>
      </c>
    </row>
    <row r="124" spans="2:5" ht="60.75" customHeight="1" hidden="1">
      <c r="B124" s="510">
        <v>42</v>
      </c>
      <c r="E124" s="241">
        <f t="shared" si="4"/>
        <v>42</v>
      </c>
    </row>
    <row r="125" spans="2:5" ht="60.75" customHeight="1" hidden="1">
      <c r="B125" s="510">
        <v>43</v>
      </c>
      <c r="E125" s="241">
        <f t="shared" si="4"/>
        <v>43</v>
      </c>
    </row>
    <row r="126" spans="2:5" ht="60.75" customHeight="1" hidden="1">
      <c r="B126" s="510">
        <v>44</v>
      </c>
      <c r="E126" s="241">
        <f t="shared" si="4"/>
        <v>44</v>
      </c>
    </row>
    <row r="127" spans="2:5" ht="60.75" customHeight="1" hidden="1">
      <c r="B127" s="510">
        <v>45</v>
      </c>
      <c r="E127" s="241">
        <f t="shared" si="4"/>
        <v>45</v>
      </c>
    </row>
    <row r="128" spans="2:5" ht="60.75" customHeight="1" hidden="1">
      <c r="B128" s="510">
        <v>46</v>
      </c>
      <c r="E128" s="241">
        <f t="shared" si="4"/>
        <v>46</v>
      </c>
    </row>
    <row r="129" spans="2:5" ht="60.75" customHeight="1" hidden="1">
      <c r="B129" s="510">
        <v>47</v>
      </c>
      <c r="E129" s="241">
        <f t="shared" si="4"/>
        <v>47</v>
      </c>
    </row>
    <row r="130" spans="2:5" ht="60.75" customHeight="1" hidden="1">
      <c r="B130" s="510">
        <v>48</v>
      </c>
      <c r="E130" s="241">
        <f t="shared" si="4"/>
        <v>48</v>
      </c>
    </row>
    <row r="131" spans="2:5" ht="60.75" customHeight="1" hidden="1">
      <c r="B131" s="510">
        <v>49</v>
      </c>
      <c r="E131" s="241">
        <f t="shared" si="4"/>
        <v>49</v>
      </c>
    </row>
    <row r="132" spans="2:5" ht="60.75" customHeight="1" hidden="1">
      <c r="B132" s="510">
        <v>50</v>
      </c>
      <c r="E132" s="241">
        <f t="shared" si="4"/>
        <v>50</v>
      </c>
    </row>
    <row r="133" spans="2:5" ht="60.75" customHeight="1" hidden="1">
      <c r="B133" s="510">
        <v>51</v>
      </c>
      <c r="E133" s="241">
        <f t="shared" si="4"/>
        <v>51</v>
      </c>
    </row>
    <row r="134" spans="2:5" ht="60.75" customHeight="1" hidden="1">
      <c r="B134" s="510">
        <v>52</v>
      </c>
      <c r="E134" s="241">
        <f t="shared" si="4"/>
        <v>52</v>
      </c>
    </row>
    <row r="135" spans="2:5" ht="60.75" customHeight="1" hidden="1">
      <c r="B135" s="510">
        <v>53</v>
      </c>
      <c r="E135" s="241">
        <f t="shared" si="4"/>
        <v>53</v>
      </c>
    </row>
    <row r="136" spans="2:5" ht="60.75" customHeight="1" hidden="1">
      <c r="B136" s="510">
        <v>54</v>
      </c>
      <c r="E136" s="241">
        <f t="shared" si="4"/>
        <v>54</v>
      </c>
    </row>
    <row r="137" spans="2:5" ht="60.75" customHeight="1" hidden="1">
      <c r="B137" s="510">
        <v>55</v>
      </c>
      <c r="E137" s="241">
        <f t="shared" si="4"/>
        <v>55</v>
      </c>
    </row>
    <row r="138" spans="2:5" ht="60.75" customHeight="1" hidden="1">
      <c r="B138" s="510">
        <v>56</v>
      </c>
      <c r="E138" s="241">
        <f t="shared" si="4"/>
        <v>56</v>
      </c>
    </row>
    <row r="139" spans="2:5" ht="60.75" customHeight="1" hidden="1">
      <c r="B139" s="510">
        <v>57</v>
      </c>
      <c r="E139" s="241">
        <f t="shared" si="4"/>
        <v>57</v>
      </c>
    </row>
    <row r="140" spans="2:5" ht="60.75" customHeight="1" hidden="1">
      <c r="B140" s="510">
        <v>58</v>
      </c>
      <c r="E140" s="241">
        <f t="shared" si="4"/>
        <v>58</v>
      </c>
    </row>
    <row r="141" spans="2:5" ht="60.75" customHeight="1" hidden="1">
      <c r="B141" s="510">
        <v>59</v>
      </c>
      <c r="E141" s="241">
        <f t="shared" si="4"/>
        <v>59</v>
      </c>
    </row>
    <row r="142" spans="2:5" ht="60.75" customHeight="1" hidden="1">
      <c r="B142" s="510">
        <v>60</v>
      </c>
      <c r="E142" s="241">
        <f t="shared" si="4"/>
        <v>60</v>
      </c>
    </row>
    <row r="143" spans="2:5" ht="60.75" customHeight="1" hidden="1">
      <c r="B143" s="510">
        <v>61</v>
      </c>
      <c r="E143" s="241">
        <f t="shared" si="4"/>
        <v>61</v>
      </c>
    </row>
    <row r="144" spans="2:5" ht="60.75" customHeight="1" hidden="1">
      <c r="B144" s="510">
        <v>62</v>
      </c>
      <c r="E144" s="241">
        <f t="shared" si="4"/>
        <v>62</v>
      </c>
    </row>
    <row r="145" spans="2:5" ht="60.75" customHeight="1" hidden="1">
      <c r="B145" s="510">
        <v>63</v>
      </c>
      <c r="E145" s="241">
        <f t="shared" si="4"/>
        <v>63</v>
      </c>
    </row>
    <row r="146" spans="2:5" ht="60.75" customHeight="1" hidden="1">
      <c r="B146" s="510">
        <v>64</v>
      </c>
      <c r="E146" s="241">
        <f t="shared" si="4"/>
        <v>64</v>
      </c>
    </row>
    <row r="147" spans="2:5" ht="60.75" customHeight="1" hidden="1">
      <c r="B147" s="510">
        <v>65</v>
      </c>
      <c r="E147" s="241">
        <f t="shared" si="4"/>
        <v>65</v>
      </c>
    </row>
    <row r="148" spans="2:5" ht="60.75" customHeight="1" hidden="1">
      <c r="B148" s="510">
        <v>66</v>
      </c>
      <c r="E148" s="241">
        <f t="shared" si="4"/>
        <v>66</v>
      </c>
    </row>
    <row r="149" spans="2:5" ht="60.75" customHeight="1" hidden="1">
      <c r="B149" s="510">
        <v>67</v>
      </c>
      <c r="E149" s="241">
        <f t="shared" si="4"/>
        <v>67</v>
      </c>
    </row>
    <row r="150" spans="2:5" ht="60.75" customHeight="1" hidden="1">
      <c r="B150" s="510">
        <v>68</v>
      </c>
      <c r="E150" s="241">
        <f t="shared" si="4"/>
        <v>68</v>
      </c>
    </row>
    <row r="151" spans="2:5" ht="60.75" customHeight="1" hidden="1">
      <c r="B151" s="510">
        <v>69</v>
      </c>
      <c r="E151" s="241">
        <f t="shared" si="4"/>
        <v>69</v>
      </c>
    </row>
    <row r="152" spans="2:5" ht="60.75" customHeight="1" hidden="1">
      <c r="B152" s="510">
        <v>70</v>
      </c>
      <c r="E152" s="241">
        <f t="shared" si="4"/>
        <v>70</v>
      </c>
    </row>
    <row r="153" spans="2:5" ht="60.75" customHeight="1" hidden="1">
      <c r="B153" s="510">
        <v>71</v>
      </c>
      <c r="E153" s="241">
        <f t="shared" si="4"/>
        <v>71</v>
      </c>
    </row>
    <row r="154" spans="2:5" ht="60.75" customHeight="1" hidden="1">
      <c r="B154" s="510">
        <v>72</v>
      </c>
      <c r="E154" s="241">
        <f t="shared" si="4"/>
        <v>72</v>
      </c>
    </row>
    <row r="155" spans="2:5" ht="60.75" customHeight="1" hidden="1">
      <c r="B155" s="510">
        <v>73</v>
      </c>
      <c r="E155" s="241">
        <f t="shared" si="4"/>
        <v>73</v>
      </c>
    </row>
    <row r="156" spans="2:5" ht="60.75" customHeight="1" hidden="1">
      <c r="B156" s="510">
        <v>74</v>
      </c>
      <c r="E156" s="241">
        <f t="shared" si="4"/>
        <v>74</v>
      </c>
    </row>
    <row r="157" spans="2:5" ht="60.75" customHeight="1" hidden="1">
      <c r="B157" s="510">
        <v>75</v>
      </c>
      <c r="E157" s="241">
        <f t="shared" si="4"/>
        <v>75</v>
      </c>
    </row>
    <row r="158" spans="2:5" ht="60.75" customHeight="1" hidden="1">
      <c r="B158" s="510">
        <v>76</v>
      </c>
      <c r="E158" s="241">
        <f t="shared" si="4"/>
        <v>76</v>
      </c>
    </row>
    <row r="159" spans="2:5" ht="60.75" customHeight="1" hidden="1">
      <c r="B159" s="510">
        <v>77</v>
      </c>
      <c r="E159" s="241">
        <f t="shared" si="4"/>
        <v>77</v>
      </c>
    </row>
    <row r="160" spans="2:5" ht="60.75" customHeight="1" hidden="1">
      <c r="B160" s="510">
        <v>78</v>
      </c>
      <c r="E160" s="241">
        <f t="shared" si="4"/>
        <v>78</v>
      </c>
    </row>
    <row r="161" spans="2:5" ht="60.75" customHeight="1" hidden="1">
      <c r="B161" s="510">
        <v>79</v>
      </c>
      <c r="E161" s="241">
        <f t="shared" si="4"/>
        <v>79</v>
      </c>
    </row>
    <row r="162" spans="2:5" ht="60.75" customHeight="1" hidden="1">
      <c r="B162" s="510">
        <v>80</v>
      </c>
      <c r="E162" s="241">
        <f t="shared" si="4"/>
        <v>80</v>
      </c>
    </row>
    <row r="163" spans="2:5" ht="60.75" customHeight="1" hidden="1">
      <c r="B163" s="510">
        <v>81</v>
      </c>
      <c r="E163" s="241">
        <f t="shared" si="4"/>
        <v>81</v>
      </c>
    </row>
    <row r="164" spans="2:5" ht="60.75" customHeight="1" hidden="1">
      <c r="B164" s="510">
        <v>82</v>
      </c>
      <c r="E164" s="241">
        <f t="shared" si="4"/>
        <v>82</v>
      </c>
    </row>
    <row r="165" spans="2:5" ht="60.75" customHeight="1" hidden="1">
      <c r="B165" s="510">
        <v>83</v>
      </c>
      <c r="E165" s="241">
        <f t="shared" si="4"/>
        <v>83</v>
      </c>
    </row>
    <row r="166" spans="2:5" ht="60.75" customHeight="1" hidden="1">
      <c r="B166" s="510">
        <v>84</v>
      </c>
      <c r="E166" s="241">
        <f t="shared" si="4"/>
        <v>84</v>
      </c>
    </row>
    <row r="167" spans="2:5" ht="60.75" customHeight="1" hidden="1">
      <c r="B167" s="510">
        <v>85</v>
      </c>
      <c r="E167" s="241">
        <f aca="true" t="shared" si="5" ref="E167:E230">B167</f>
        <v>85</v>
      </c>
    </row>
    <row r="168" spans="2:5" ht="60.75" customHeight="1" hidden="1">
      <c r="B168" s="510">
        <v>86</v>
      </c>
      <c r="E168" s="241">
        <f t="shared" si="5"/>
        <v>86</v>
      </c>
    </row>
    <row r="169" spans="2:5" ht="60.75" customHeight="1" hidden="1">
      <c r="B169" s="510">
        <v>87</v>
      </c>
      <c r="E169" s="241">
        <f t="shared" si="5"/>
        <v>87</v>
      </c>
    </row>
    <row r="170" spans="2:5" ht="60.75" customHeight="1" hidden="1">
      <c r="B170" s="510">
        <v>88</v>
      </c>
      <c r="E170" s="241">
        <f t="shared" si="5"/>
        <v>88</v>
      </c>
    </row>
    <row r="171" spans="2:5" ht="60.75" customHeight="1" hidden="1">
      <c r="B171" s="510">
        <v>89</v>
      </c>
      <c r="E171" s="241">
        <f t="shared" si="5"/>
        <v>89</v>
      </c>
    </row>
    <row r="172" spans="2:5" ht="60.75" customHeight="1" hidden="1">
      <c r="B172" s="510">
        <v>90</v>
      </c>
      <c r="E172" s="241">
        <f t="shared" si="5"/>
        <v>90</v>
      </c>
    </row>
    <row r="173" spans="2:5" ht="60.75" customHeight="1" hidden="1">
      <c r="B173" s="510">
        <v>91</v>
      </c>
      <c r="E173" s="241">
        <f t="shared" si="5"/>
        <v>91</v>
      </c>
    </row>
    <row r="174" spans="2:5" ht="60.75" customHeight="1" hidden="1">
      <c r="B174" s="510">
        <v>92</v>
      </c>
      <c r="E174" s="241">
        <f t="shared" si="5"/>
        <v>92</v>
      </c>
    </row>
    <row r="175" spans="2:5" ht="60.75" customHeight="1" hidden="1">
      <c r="B175" s="510">
        <v>93</v>
      </c>
      <c r="E175" s="241">
        <f t="shared" si="5"/>
        <v>93</v>
      </c>
    </row>
    <row r="176" spans="2:5" ht="60.75" customHeight="1" hidden="1">
      <c r="B176" s="510">
        <v>94</v>
      </c>
      <c r="E176" s="241">
        <f t="shared" si="5"/>
        <v>94</v>
      </c>
    </row>
    <row r="177" spans="2:5" ht="60.75" customHeight="1" hidden="1">
      <c r="B177" s="510">
        <v>95</v>
      </c>
      <c r="E177" s="241">
        <f t="shared" si="5"/>
        <v>95</v>
      </c>
    </row>
    <row r="178" spans="2:5" ht="60.75" customHeight="1" hidden="1">
      <c r="B178" s="510">
        <v>96</v>
      </c>
      <c r="E178" s="241">
        <f t="shared" si="5"/>
        <v>96</v>
      </c>
    </row>
    <row r="179" spans="2:5" ht="60.75" customHeight="1" hidden="1">
      <c r="B179" s="510">
        <v>97</v>
      </c>
      <c r="E179" s="241">
        <f t="shared" si="5"/>
        <v>97</v>
      </c>
    </row>
    <row r="180" spans="2:5" ht="60.75" customHeight="1" hidden="1">
      <c r="B180" s="510">
        <v>98</v>
      </c>
      <c r="E180" s="241">
        <f t="shared" si="5"/>
        <v>98</v>
      </c>
    </row>
    <row r="181" spans="2:5" ht="60.75" customHeight="1" hidden="1">
      <c r="B181" s="510">
        <v>99</v>
      </c>
      <c r="E181" s="241">
        <f t="shared" si="5"/>
        <v>99</v>
      </c>
    </row>
    <row r="182" spans="2:5" ht="60.75" customHeight="1" hidden="1">
      <c r="B182" s="510">
        <v>100</v>
      </c>
      <c r="E182" s="241">
        <f t="shared" si="5"/>
        <v>100</v>
      </c>
    </row>
    <row r="183" spans="2:5" ht="60.75" customHeight="1" hidden="1">
      <c r="B183" s="510">
        <v>101</v>
      </c>
      <c r="E183" s="241">
        <f t="shared" si="5"/>
        <v>101</v>
      </c>
    </row>
    <row r="184" spans="2:5" ht="60.75" customHeight="1" hidden="1">
      <c r="B184" s="510">
        <v>102</v>
      </c>
      <c r="E184" s="241">
        <f t="shared" si="5"/>
        <v>102</v>
      </c>
    </row>
    <row r="185" spans="2:5" ht="60.75" customHeight="1" hidden="1">
      <c r="B185" s="510">
        <v>103</v>
      </c>
      <c r="E185" s="241">
        <f t="shared" si="5"/>
        <v>103</v>
      </c>
    </row>
    <row r="186" spans="2:5" ht="60.75" customHeight="1" hidden="1">
      <c r="B186" s="510">
        <v>104</v>
      </c>
      <c r="E186" s="241">
        <f t="shared" si="5"/>
        <v>104</v>
      </c>
    </row>
    <row r="187" spans="2:5" ht="60.75" customHeight="1" hidden="1">
      <c r="B187" s="510">
        <v>105</v>
      </c>
      <c r="E187" s="241">
        <f t="shared" si="5"/>
        <v>105</v>
      </c>
    </row>
    <row r="188" spans="2:5" ht="60.75" customHeight="1" hidden="1">
      <c r="B188" s="510">
        <v>106</v>
      </c>
      <c r="E188" s="241">
        <f t="shared" si="5"/>
        <v>106</v>
      </c>
    </row>
    <row r="189" spans="2:5" ht="60.75" customHeight="1" hidden="1">
      <c r="B189" s="510">
        <v>107</v>
      </c>
      <c r="E189" s="241">
        <f t="shared" si="5"/>
        <v>107</v>
      </c>
    </row>
    <row r="190" spans="2:5" ht="60.75" customHeight="1" hidden="1">
      <c r="B190" s="510">
        <v>108</v>
      </c>
      <c r="E190" s="241">
        <f t="shared" si="5"/>
        <v>108</v>
      </c>
    </row>
    <row r="191" spans="2:5" ht="60.75" customHeight="1" hidden="1">
      <c r="B191" s="510">
        <v>109</v>
      </c>
      <c r="E191" s="241">
        <f t="shared" si="5"/>
        <v>109</v>
      </c>
    </row>
    <row r="192" spans="2:5" ht="60.75" customHeight="1" hidden="1">
      <c r="B192" s="510">
        <v>110</v>
      </c>
      <c r="E192" s="241">
        <f t="shared" si="5"/>
        <v>110</v>
      </c>
    </row>
    <row r="193" spans="2:5" ht="60.75" customHeight="1" hidden="1">
      <c r="B193" s="510">
        <v>111</v>
      </c>
      <c r="E193" s="241">
        <f t="shared" si="5"/>
        <v>111</v>
      </c>
    </row>
    <row r="194" spans="2:5" ht="60.75" customHeight="1" hidden="1">
      <c r="B194" s="510">
        <v>112</v>
      </c>
      <c r="E194" s="241">
        <f t="shared" si="5"/>
        <v>112</v>
      </c>
    </row>
    <row r="195" spans="2:5" ht="60.75" customHeight="1" hidden="1">
      <c r="B195" s="510">
        <v>113</v>
      </c>
      <c r="E195" s="241">
        <f t="shared" si="5"/>
        <v>113</v>
      </c>
    </row>
    <row r="196" spans="2:5" ht="60.75" customHeight="1" hidden="1">
      <c r="B196" s="510">
        <v>114</v>
      </c>
      <c r="E196" s="241">
        <f t="shared" si="5"/>
        <v>114</v>
      </c>
    </row>
    <row r="197" spans="2:5" ht="60.75" customHeight="1" hidden="1">
      <c r="B197" s="510">
        <v>115</v>
      </c>
      <c r="E197" s="241">
        <f t="shared" si="5"/>
        <v>115</v>
      </c>
    </row>
    <row r="198" spans="2:5" ht="60.75" customHeight="1" hidden="1">
      <c r="B198" s="510">
        <v>116</v>
      </c>
      <c r="E198" s="241">
        <f t="shared" si="5"/>
        <v>116</v>
      </c>
    </row>
    <row r="199" spans="2:5" ht="60.75" customHeight="1" hidden="1">
      <c r="B199" s="510">
        <v>117</v>
      </c>
      <c r="E199" s="241">
        <f t="shared" si="5"/>
        <v>117</v>
      </c>
    </row>
    <row r="200" spans="2:5" ht="60.75" customHeight="1" hidden="1">
      <c r="B200" s="510">
        <v>118</v>
      </c>
      <c r="E200" s="241">
        <f t="shared" si="5"/>
        <v>118</v>
      </c>
    </row>
    <row r="201" spans="2:5" ht="60.75" customHeight="1" hidden="1">
      <c r="B201" s="510">
        <v>119</v>
      </c>
      <c r="E201" s="241">
        <f t="shared" si="5"/>
        <v>119</v>
      </c>
    </row>
    <row r="202" spans="2:5" ht="60.75" customHeight="1" hidden="1">
      <c r="B202" s="510">
        <v>120</v>
      </c>
      <c r="E202" s="241">
        <f t="shared" si="5"/>
        <v>120</v>
      </c>
    </row>
    <row r="203" spans="2:5" ht="60.75" customHeight="1" hidden="1">
      <c r="B203" s="510">
        <v>121</v>
      </c>
      <c r="E203" s="241">
        <f t="shared" si="5"/>
        <v>121</v>
      </c>
    </row>
    <row r="204" spans="2:5" ht="60.75" customHeight="1" hidden="1">
      <c r="B204" s="510">
        <v>122</v>
      </c>
      <c r="E204" s="241">
        <f t="shared" si="5"/>
        <v>122</v>
      </c>
    </row>
    <row r="205" spans="2:5" ht="60.75" customHeight="1" hidden="1">
      <c r="B205" s="510">
        <v>123</v>
      </c>
      <c r="E205" s="241">
        <f t="shared" si="5"/>
        <v>123</v>
      </c>
    </row>
    <row r="206" spans="2:5" ht="60.75" customHeight="1" hidden="1">
      <c r="B206" s="510">
        <v>124</v>
      </c>
      <c r="E206" s="241">
        <f t="shared" si="5"/>
        <v>124</v>
      </c>
    </row>
    <row r="207" spans="2:5" ht="60.75" customHeight="1" hidden="1">
      <c r="B207" s="510">
        <v>125</v>
      </c>
      <c r="E207" s="241">
        <f t="shared" si="5"/>
        <v>125</v>
      </c>
    </row>
    <row r="208" spans="2:5" ht="60.75" customHeight="1" hidden="1">
      <c r="B208" s="510">
        <v>126</v>
      </c>
      <c r="E208" s="241">
        <f t="shared" si="5"/>
        <v>126</v>
      </c>
    </row>
    <row r="209" spans="2:5" ht="60.75" customHeight="1" hidden="1">
      <c r="B209" s="510">
        <v>127</v>
      </c>
      <c r="E209" s="241">
        <f t="shared" si="5"/>
        <v>127</v>
      </c>
    </row>
    <row r="210" spans="2:5" ht="60.75" customHeight="1" hidden="1">
      <c r="B210" s="510">
        <v>128</v>
      </c>
      <c r="E210" s="241">
        <f t="shared" si="5"/>
        <v>128</v>
      </c>
    </row>
    <row r="211" spans="2:5" ht="60.75" customHeight="1" hidden="1">
      <c r="B211" s="510">
        <v>129</v>
      </c>
      <c r="E211" s="241">
        <f t="shared" si="5"/>
        <v>129</v>
      </c>
    </row>
    <row r="212" spans="2:5" ht="60.75" customHeight="1" hidden="1">
      <c r="B212" s="510">
        <v>130</v>
      </c>
      <c r="E212" s="241">
        <f t="shared" si="5"/>
        <v>130</v>
      </c>
    </row>
    <row r="213" spans="2:5" ht="60.75" customHeight="1" hidden="1">
      <c r="B213" s="510">
        <v>131</v>
      </c>
      <c r="E213" s="241">
        <f t="shared" si="5"/>
        <v>131</v>
      </c>
    </row>
    <row r="214" spans="2:5" ht="60.75" customHeight="1" hidden="1">
      <c r="B214" s="510">
        <v>132</v>
      </c>
      <c r="E214" s="241">
        <f t="shared" si="5"/>
        <v>132</v>
      </c>
    </row>
    <row r="215" spans="2:5" ht="60.75" customHeight="1" hidden="1">
      <c r="B215" s="510">
        <v>133</v>
      </c>
      <c r="E215" s="241">
        <f t="shared" si="5"/>
        <v>133</v>
      </c>
    </row>
    <row r="216" spans="2:5" ht="60.75" customHeight="1" hidden="1">
      <c r="B216" s="510">
        <v>134</v>
      </c>
      <c r="E216" s="241">
        <f t="shared" si="5"/>
        <v>134</v>
      </c>
    </row>
    <row r="217" spans="2:5" ht="60.75" customHeight="1" hidden="1">
      <c r="B217" s="510">
        <v>135</v>
      </c>
      <c r="E217" s="241">
        <f t="shared" si="5"/>
        <v>135</v>
      </c>
    </row>
    <row r="218" spans="2:5" ht="60.75" customHeight="1" hidden="1">
      <c r="B218" s="510">
        <v>136</v>
      </c>
      <c r="E218" s="241">
        <f t="shared" si="5"/>
        <v>136</v>
      </c>
    </row>
    <row r="219" spans="2:5" ht="60.75" customHeight="1" hidden="1">
      <c r="B219" s="510">
        <v>137</v>
      </c>
      <c r="E219" s="241">
        <f t="shared" si="5"/>
        <v>137</v>
      </c>
    </row>
    <row r="220" spans="2:5" ht="60.75" customHeight="1" hidden="1">
      <c r="B220" s="510">
        <v>138</v>
      </c>
      <c r="E220" s="241">
        <f t="shared" si="5"/>
        <v>138</v>
      </c>
    </row>
    <row r="221" spans="2:5" ht="60.75" customHeight="1" hidden="1">
      <c r="B221" s="510">
        <v>139</v>
      </c>
      <c r="E221" s="241">
        <f t="shared" si="5"/>
        <v>139</v>
      </c>
    </row>
    <row r="222" spans="2:5" ht="60.75" customHeight="1" hidden="1">
      <c r="B222" s="510">
        <v>140</v>
      </c>
      <c r="E222" s="241">
        <f t="shared" si="5"/>
        <v>140</v>
      </c>
    </row>
    <row r="223" spans="2:5" ht="60.75" customHeight="1" hidden="1">
      <c r="B223" s="510">
        <v>141</v>
      </c>
      <c r="E223" s="241">
        <f t="shared" si="5"/>
        <v>141</v>
      </c>
    </row>
    <row r="224" spans="2:5" ht="60.75" customHeight="1" hidden="1">
      <c r="B224" s="510">
        <v>142</v>
      </c>
      <c r="E224" s="241">
        <f t="shared" si="5"/>
        <v>142</v>
      </c>
    </row>
    <row r="225" spans="2:5" ht="60.75" customHeight="1" hidden="1">
      <c r="B225" s="510">
        <v>143</v>
      </c>
      <c r="E225" s="241">
        <f t="shared" si="5"/>
        <v>143</v>
      </c>
    </row>
    <row r="226" spans="2:5" ht="60.75" customHeight="1" hidden="1">
      <c r="B226" s="510">
        <v>144</v>
      </c>
      <c r="E226" s="241">
        <f t="shared" si="5"/>
        <v>144</v>
      </c>
    </row>
    <row r="227" spans="2:5" ht="60.75" customHeight="1" hidden="1">
      <c r="B227" s="510">
        <v>145</v>
      </c>
      <c r="E227" s="241">
        <f t="shared" si="5"/>
        <v>145</v>
      </c>
    </row>
    <row r="228" spans="2:5" ht="60.75" customHeight="1" hidden="1">
      <c r="B228" s="510">
        <v>146</v>
      </c>
      <c r="E228" s="241">
        <f t="shared" si="5"/>
        <v>146</v>
      </c>
    </row>
    <row r="229" spans="2:5" ht="60.75" customHeight="1" hidden="1">
      <c r="B229" s="510">
        <v>147</v>
      </c>
      <c r="E229" s="241">
        <f t="shared" si="5"/>
        <v>147</v>
      </c>
    </row>
    <row r="230" spans="2:5" ht="60.75" customHeight="1" hidden="1">
      <c r="B230" s="510">
        <v>148</v>
      </c>
      <c r="E230" s="241">
        <f t="shared" si="5"/>
        <v>148</v>
      </c>
    </row>
    <row r="231" spans="2:5" ht="60.75" customHeight="1" hidden="1">
      <c r="B231" s="510">
        <v>149</v>
      </c>
      <c r="E231" s="241">
        <f aca="true" t="shared" si="6" ref="E231:E294">B231</f>
        <v>149</v>
      </c>
    </row>
    <row r="232" spans="2:5" ht="60.75" customHeight="1" hidden="1">
      <c r="B232" s="510">
        <v>150</v>
      </c>
      <c r="E232" s="241">
        <f t="shared" si="6"/>
        <v>150</v>
      </c>
    </row>
    <row r="233" spans="2:5" ht="60.75" customHeight="1" hidden="1">
      <c r="B233" s="510">
        <v>151</v>
      </c>
      <c r="E233" s="241">
        <f t="shared" si="6"/>
        <v>151</v>
      </c>
    </row>
    <row r="234" spans="2:5" ht="60.75" customHeight="1" hidden="1">
      <c r="B234" s="510">
        <v>152</v>
      </c>
      <c r="E234" s="241">
        <f t="shared" si="6"/>
        <v>152</v>
      </c>
    </row>
    <row r="235" spans="2:5" ht="60.75" customHeight="1" hidden="1">
      <c r="B235" s="510">
        <v>153</v>
      </c>
      <c r="E235" s="241">
        <f t="shared" si="6"/>
        <v>153</v>
      </c>
    </row>
    <row r="236" spans="2:5" ht="60.75" customHeight="1" hidden="1">
      <c r="B236" s="510">
        <v>154</v>
      </c>
      <c r="E236" s="241">
        <f t="shared" si="6"/>
        <v>154</v>
      </c>
    </row>
    <row r="237" spans="2:5" ht="60.75" customHeight="1" hidden="1">
      <c r="B237" s="510">
        <v>155</v>
      </c>
      <c r="E237" s="241">
        <f t="shared" si="6"/>
        <v>155</v>
      </c>
    </row>
    <row r="238" spans="2:5" ht="60.75" customHeight="1" hidden="1">
      <c r="B238" s="510">
        <v>156</v>
      </c>
      <c r="E238" s="241">
        <f t="shared" si="6"/>
        <v>156</v>
      </c>
    </row>
    <row r="239" spans="2:5" ht="60.75" customHeight="1" hidden="1">
      <c r="B239" s="510">
        <v>157</v>
      </c>
      <c r="E239" s="241">
        <f t="shared" si="6"/>
        <v>157</v>
      </c>
    </row>
    <row r="240" spans="2:5" ht="60.75" customHeight="1" hidden="1">
      <c r="B240" s="510">
        <v>158</v>
      </c>
      <c r="E240" s="241">
        <f t="shared" si="6"/>
        <v>158</v>
      </c>
    </row>
    <row r="241" spans="2:5" ht="60.75" customHeight="1" hidden="1">
      <c r="B241" s="510">
        <v>159</v>
      </c>
      <c r="E241" s="241">
        <f t="shared" si="6"/>
        <v>159</v>
      </c>
    </row>
    <row r="242" spans="2:5" ht="60.75" customHeight="1" hidden="1">
      <c r="B242" s="510">
        <v>160</v>
      </c>
      <c r="E242" s="241">
        <f t="shared" si="6"/>
        <v>160</v>
      </c>
    </row>
    <row r="243" spans="2:5" ht="60.75" customHeight="1" hidden="1">
      <c r="B243" s="510">
        <v>161</v>
      </c>
      <c r="E243" s="241">
        <f t="shared" si="6"/>
        <v>161</v>
      </c>
    </row>
    <row r="244" spans="2:5" ht="60.75" customHeight="1" hidden="1">
      <c r="B244" s="510">
        <v>162</v>
      </c>
      <c r="E244" s="241">
        <f t="shared" si="6"/>
        <v>162</v>
      </c>
    </row>
    <row r="245" spans="2:5" ht="60.75" customHeight="1" hidden="1">
      <c r="B245" s="510">
        <v>163</v>
      </c>
      <c r="E245" s="241">
        <f t="shared" si="6"/>
        <v>163</v>
      </c>
    </row>
    <row r="246" spans="2:5" ht="60.75" customHeight="1" hidden="1">
      <c r="B246" s="510">
        <v>164</v>
      </c>
      <c r="E246" s="241">
        <f t="shared" si="6"/>
        <v>164</v>
      </c>
    </row>
    <row r="247" spans="2:5" ht="60.75" customHeight="1" hidden="1">
      <c r="B247" s="510">
        <v>165</v>
      </c>
      <c r="E247" s="241">
        <f t="shared" si="6"/>
        <v>165</v>
      </c>
    </row>
    <row r="248" spans="2:5" ht="60.75" customHeight="1" hidden="1">
      <c r="B248" s="510">
        <v>166</v>
      </c>
      <c r="E248" s="241">
        <f t="shared" si="6"/>
        <v>166</v>
      </c>
    </row>
    <row r="249" spans="2:5" ht="60.75" customHeight="1" hidden="1">
      <c r="B249" s="510">
        <v>167</v>
      </c>
      <c r="E249" s="241">
        <f t="shared" si="6"/>
        <v>167</v>
      </c>
    </row>
    <row r="250" spans="2:5" ht="60.75" customHeight="1" hidden="1">
      <c r="B250" s="510">
        <v>168</v>
      </c>
      <c r="E250" s="241">
        <f t="shared" si="6"/>
        <v>168</v>
      </c>
    </row>
    <row r="251" spans="2:5" ht="60.75" customHeight="1" hidden="1">
      <c r="B251" s="510">
        <v>169</v>
      </c>
      <c r="E251" s="241">
        <f t="shared" si="6"/>
        <v>169</v>
      </c>
    </row>
    <row r="252" spans="2:5" ht="60.75" customHeight="1" hidden="1">
      <c r="B252" s="510">
        <v>170</v>
      </c>
      <c r="E252" s="241">
        <f t="shared" si="6"/>
        <v>170</v>
      </c>
    </row>
    <row r="253" spans="2:5" ht="60.75" customHeight="1" hidden="1">
      <c r="B253" s="510">
        <v>171</v>
      </c>
      <c r="E253" s="241">
        <f t="shared" si="6"/>
        <v>171</v>
      </c>
    </row>
    <row r="254" spans="2:5" ht="60.75" customHeight="1" hidden="1">
      <c r="B254" s="510">
        <v>172</v>
      </c>
      <c r="E254" s="241">
        <f t="shared" si="6"/>
        <v>172</v>
      </c>
    </row>
    <row r="255" spans="2:5" ht="60.75" customHeight="1" hidden="1">
      <c r="B255" s="510">
        <v>173</v>
      </c>
      <c r="E255" s="241">
        <f t="shared" si="6"/>
        <v>173</v>
      </c>
    </row>
    <row r="256" spans="2:5" ht="60.75" customHeight="1" hidden="1">
      <c r="B256" s="510">
        <v>174</v>
      </c>
      <c r="E256" s="241">
        <f t="shared" si="6"/>
        <v>174</v>
      </c>
    </row>
    <row r="257" spans="2:5" ht="60.75" customHeight="1" hidden="1">
      <c r="B257" s="510">
        <v>175</v>
      </c>
      <c r="E257" s="241">
        <f t="shared" si="6"/>
        <v>175</v>
      </c>
    </row>
    <row r="258" spans="2:5" ht="60.75" customHeight="1" hidden="1">
      <c r="B258" s="510">
        <v>176</v>
      </c>
      <c r="E258" s="241">
        <f t="shared" si="6"/>
        <v>176</v>
      </c>
    </row>
    <row r="259" spans="2:5" ht="60.75" customHeight="1" hidden="1">
      <c r="B259" s="510">
        <v>177</v>
      </c>
      <c r="E259" s="241">
        <f t="shared" si="6"/>
        <v>177</v>
      </c>
    </row>
    <row r="260" spans="2:5" ht="60.75" customHeight="1" hidden="1">
      <c r="B260" s="510">
        <v>178</v>
      </c>
      <c r="E260" s="241">
        <f t="shared" si="6"/>
        <v>178</v>
      </c>
    </row>
    <row r="261" spans="2:5" ht="60.75" customHeight="1" hidden="1">
      <c r="B261" s="510">
        <v>179</v>
      </c>
      <c r="E261" s="241">
        <f t="shared" si="6"/>
        <v>179</v>
      </c>
    </row>
    <row r="262" spans="2:5" ht="60.75" customHeight="1" hidden="1">
      <c r="B262" s="510">
        <v>180</v>
      </c>
      <c r="E262" s="241">
        <f t="shared" si="6"/>
        <v>180</v>
      </c>
    </row>
    <row r="263" spans="2:5" ht="60.75" customHeight="1" hidden="1">
      <c r="B263" s="510">
        <v>181</v>
      </c>
      <c r="E263" s="241">
        <f t="shared" si="6"/>
        <v>181</v>
      </c>
    </row>
    <row r="264" spans="2:5" ht="60.75" customHeight="1" hidden="1">
      <c r="B264" s="510">
        <v>182</v>
      </c>
      <c r="E264" s="241">
        <f t="shared" si="6"/>
        <v>182</v>
      </c>
    </row>
    <row r="265" spans="2:5" ht="60.75" customHeight="1" hidden="1">
      <c r="B265" s="510">
        <v>183</v>
      </c>
      <c r="E265" s="241">
        <f t="shared" si="6"/>
        <v>183</v>
      </c>
    </row>
    <row r="266" spans="2:5" ht="60.75" customHeight="1" hidden="1">
      <c r="B266" s="510">
        <v>184</v>
      </c>
      <c r="E266" s="241">
        <f t="shared" si="6"/>
        <v>184</v>
      </c>
    </row>
    <row r="267" spans="2:5" ht="60.75" customHeight="1" hidden="1">
      <c r="B267" s="510">
        <v>185</v>
      </c>
      <c r="E267" s="241">
        <f t="shared" si="6"/>
        <v>185</v>
      </c>
    </row>
    <row r="268" spans="2:5" ht="60.75" customHeight="1" hidden="1">
      <c r="B268" s="510">
        <v>186</v>
      </c>
      <c r="E268" s="241">
        <f t="shared" si="6"/>
        <v>186</v>
      </c>
    </row>
    <row r="269" spans="2:5" ht="60.75" customHeight="1" hidden="1">
      <c r="B269" s="510">
        <v>187</v>
      </c>
      <c r="E269" s="241">
        <f t="shared" si="6"/>
        <v>187</v>
      </c>
    </row>
    <row r="270" spans="2:5" ht="60.75" customHeight="1" hidden="1">
      <c r="B270" s="510">
        <v>188</v>
      </c>
      <c r="E270" s="241">
        <f t="shared" si="6"/>
        <v>188</v>
      </c>
    </row>
    <row r="271" spans="2:5" ht="60.75" customHeight="1" hidden="1">
      <c r="B271" s="510">
        <v>189</v>
      </c>
      <c r="E271" s="241">
        <f t="shared" si="6"/>
        <v>189</v>
      </c>
    </row>
    <row r="272" spans="2:5" ht="60.75" customHeight="1" hidden="1">
      <c r="B272" s="510">
        <v>190</v>
      </c>
      <c r="E272" s="241">
        <f t="shared" si="6"/>
        <v>190</v>
      </c>
    </row>
    <row r="273" spans="2:5" ht="60.75" customHeight="1" hidden="1">
      <c r="B273" s="510">
        <v>191</v>
      </c>
      <c r="E273" s="241">
        <f t="shared" si="6"/>
        <v>191</v>
      </c>
    </row>
    <row r="274" spans="2:5" ht="60.75" customHeight="1" hidden="1">
      <c r="B274" s="510">
        <v>192</v>
      </c>
      <c r="E274" s="241">
        <f t="shared" si="6"/>
        <v>192</v>
      </c>
    </row>
    <row r="275" spans="2:5" ht="60.75" customHeight="1" hidden="1">
      <c r="B275" s="510">
        <v>193</v>
      </c>
      <c r="E275" s="241">
        <f t="shared" si="6"/>
        <v>193</v>
      </c>
    </row>
    <row r="276" spans="2:5" ht="60.75" customHeight="1" hidden="1">
      <c r="B276" s="510">
        <v>194</v>
      </c>
      <c r="E276" s="241">
        <f t="shared" si="6"/>
        <v>194</v>
      </c>
    </row>
    <row r="277" spans="2:5" ht="60.75" customHeight="1" hidden="1">
      <c r="B277" s="510">
        <v>195</v>
      </c>
      <c r="E277" s="241">
        <f t="shared" si="6"/>
        <v>195</v>
      </c>
    </row>
    <row r="278" spans="2:5" ht="60.75" customHeight="1" hidden="1">
      <c r="B278" s="510">
        <v>196</v>
      </c>
      <c r="E278" s="241">
        <f t="shared" si="6"/>
        <v>196</v>
      </c>
    </row>
    <row r="279" spans="2:5" ht="60.75" customHeight="1" hidden="1">
      <c r="B279" s="510">
        <v>197</v>
      </c>
      <c r="E279" s="241">
        <f t="shared" si="6"/>
        <v>197</v>
      </c>
    </row>
    <row r="280" spans="2:5" ht="60.75" customHeight="1" hidden="1">
      <c r="B280" s="510">
        <v>198</v>
      </c>
      <c r="E280" s="241">
        <f t="shared" si="6"/>
        <v>198</v>
      </c>
    </row>
    <row r="281" spans="2:5" ht="60.75" customHeight="1" hidden="1">
      <c r="B281" s="510">
        <v>199</v>
      </c>
      <c r="E281" s="241">
        <f t="shared" si="6"/>
        <v>199</v>
      </c>
    </row>
    <row r="282" spans="2:5" ht="60.75" customHeight="1" hidden="1">
      <c r="B282" s="510">
        <v>200</v>
      </c>
      <c r="E282" s="241">
        <f t="shared" si="6"/>
        <v>200</v>
      </c>
    </row>
    <row r="283" spans="2:5" ht="60.75" customHeight="1" hidden="1">
      <c r="B283" s="510">
        <v>201</v>
      </c>
      <c r="E283" s="241">
        <f t="shared" si="6"/>
        <v>201</v>
      </c>
    </row>
    <row r="284" spans="2:5" ht="60.75" customHeight="1" hidden="1">
      <c r="B284" s="510">
        <v>202</v>
      </c>
      <c r="E284" s="241">
        <f t="shared" si="6"/>
        <v>202</v>
      </c>
    </row>
    <row r="285" spans="2:5" ht="60.75" customHeight="1" hidden="1">
      <c r="B285" s="510">
        <v>203</v>
      </c>
      <c r="E285" s="241">
        <f t="shared" si="6"/>
        <v>203</v>
      </c>
    </row>
    <row r="286" spans="2:5" ht="60.75" customHeight="1" hidden="1">
      <c r="B286" s="510">
        <v>204</v>
      </c>
      <c r="E286" s="241">
        <f t="shared" si="6"/>
        <v>204</v>
      </c>
    </row>
    <row r="287" spans="2:5" ht="60.75" customHeight="1" hidden="1">
      <c r="B287" s="510">
        <v>205</v>
      </c>
      <c r="E287" s="241">
        <f t="shared" si="6"/>
        <v>205</v>
      </c>
    </row>
    <row r="288" spans="2:5" ht="60.75" customHeight="1" hidden="1">
      <c r="B288" s="510">
        <v>206</v>
      </c>
      <c r="E288" s="241">
        <f t="shared" si="6"/>
        <v>206</v>
      </c>
    </row>
    <row r="289" spans="2:5" ht="60.75" customHeight="1" hidden="1">
      <c r="B289" s="510">
        <v>207</v>
      </c>
      <c r="E289" s="241">
        <f t="shared" si="6"/>
        <v>207</v>
      </c>
    </row>
    <row r="290" spans="2:5" ht="60.75" customHeight="1" hidden="1">
      <c r="B290" s="510">
        <v>208</v>
      </c>
      <c r="E290" s="241">
        <f t="shared" si="6"/>
        <v>208</v>
      </c>
    </row>
    <row r="291" spans="2:5" ht="60.75" customHeight="1" hidden="1">
      <c r="B291" s="510">
        <v>209</v>
      </c>
      <c r="E291" s="241">
        <f t="shared" si="6"/>
        <v>209</v>
      </c>
    </row>
    <row r="292" spans="2:5" ht="60.75" customHeight="1" hidden="1">
      <c r="B292" s="510">
        <v>210</v>
      </c>
      <c r="E292" s="241">
        <f t="shared" si="6"/>
        <v>210</v>
      </c>
    </row>
    <row r="293" spans="2:5" ht="60.75" customHeight="1" hidden="1">
      <c r="B293" s="510">
        <v>211</v>
      </c>
      <c r="E293" s="241">
        <f t="shared" si="6"/>
        <v>211</v>
      </c>
    </row>
    <row r="294" spans="2:5" ht="60.75" customHeight="1" hidden="1">
      <c r="B294" s="510">
        <v>212</v>
      </c>
      <c r="E294" s="241">
        <f t="shared" si="6"/>
        <v>212</v>
      </c>
    </row>
    <row r="295" spans="2:5" ht="60.75" customHeight="1" hidden="1">
      <c r="B295" s="510">
        <v>213</v>
      </c>
      <c r="E295" s="241">
        <f aca="true" t="shared" si="7" ref="E295:E331">B295</f>
        <v>213</v>
      </c>
    </row>
    <row r="296" spans="2:5" ht="60.75" customHeight="1" hidden="1">
      <c r="B296" s="510">
        <v>214</v>
      </c>
      <c r="E296" s="241">
        <f t="shared" si="7"/>
        <v>214</v>
      </c>
    </row>
    <row r="297" spans="2:5" ht="60.75" customHeight="1" hidden="1">
      <c r="B297" s="510">
        <v>215</v>
      </c>
      <c r="E297" s="241">
        <f t="shared" si="7"/>
        <v>215</v>
      </c>
    </row>
    <row r="298" spans="2:5" ht="60.75" customHeight="1" hidden="1">
      <c r="B298" s="510">
        <v>216</v>
      </c>
      <c r="E298" s="241">
        <f t="shared" si="7"/>
        <v>216</v>
      </c>
    </row>
    <row r="299" spans="2:5" ht="60.75" customHeight="1" hidden="1">
      <c r="B299" s="510">
        <v>217</v>
      </c>
      <c r="E299" s="241">
        <f t="shared" si="7"/>
        <v>217</v>
      </c>
    </row>
    <row r="300" spans="2:5" ht="60.75" customHeight="1" hidden="1">
      <c r="B300" s="510">
        <v>218</v>
      </c>
      <c r="E300" s="241">
        <f t="shared" si="7"/>
        <v>218</v>
      </c>
    </row>
    <row r="301" spans="2:5" ht="60.75" customHeight="1" hidden="1">
      <c r="B301" s="510">
        <v>219</v>
      </c>
      <c r="E301" s="241">
        <f t="shared" si="7"/>
        <v>219</v>
      </c>
    </row>
    <row r="302" spans="2:5" ht="60.75" customHeight="1" hidden="1">
      <c r="B302" s="510">
        <v>220</v>
      </c>
      <c r="E302" s="241">
        <f t="shared" si="7"/>
        <v>220</v>
      </c>
    </row>
    <row r="303" spans="2:5" ht="60.75" customHeight="1" hidden="1">
      <c r="B303" s="510">
        <v>221</v>
      </c>
      <c r="E303" s="241">
        <f t="shared" si="7"/>
        <v>221</v>
      </c>
    </row>
    <row r="304" spans="2:5" ht="60.75" customHeight="1" hidden="1">
      <c r="B304" s="510">
        <v>222</v>
      </c>
      <c r="E304" s="241">
        <f t="shared" si="7"/>
        <v>222</v>
      </c>
    </row>
    <row r="305" spans="2:5" ht="60.75" customHeight="1" hidden="1">
      <c r="B305" s="510">
        <v>223</v>
      </c>
      <c r="E305" s="241">
        <f t="shared" si="7"/>
        <v>223</v>
      </c>
    </row>
    <row r="306" spans="2:5" ht="60.75" customHeight="1" hidden="1">
      <c r="B306" s="510">
        <v>224</v>
      </c>
      <c r="E306" s="241">
        <f t="shared" si="7"/>
        <v>224</v>
      </c>
    </row>
    <row r="307" spans="2:5" ht="60.75" customHeight="1" hidden="1">
      <c r="B307" s="510">
        <v>225</v>
      </c>
      <c r="E307" s="241">
        <f t="shared" si="7"/>
        <v>225</v>
      </c>
    </row>
    <row r="308" spans="2:5" ht="60.75" customHeight="1" hidden="1">
      <c r="B308" s="510">
        <v>226</v>
      </c>
      <c r="E308" s="241">
        <f t="shared" si="7"/>
        <v>226</v>
      </c>
    </row>
    <row r="309" spans="2:5" ht="60.75" customHeight="1" hidden="1">
      <c r="B309" s="510">
        <v>227</v>
      </c>
      <c r="E309" s="241">
        <f t="shared" si="7"/>
        <v>227</v>
      </c>
    </row>
    <row r="310" spans="2:5" ht="60.75" customHeight="1" hidden="1">
      <c r="B310" s="510">
        <v>228</v>
      </c>
      <c r="E310" s="241">
        <f t="shared" si="7"/>
        <v>228</v>
      </c>
    </row>
    <row r="311" spans="2:5" ht="60.75" customHeight="1" hidden="1">
      <c r="B311" s="510">
        <v>229</v>
      </c>
      <c r="E311" s="241">
        <f t="shared" si="7"/>
        <v>229</v>
      </c>
    </row>
    <row r="312" spans="2:5" ht="60.75" customHeight="1" hidden="1">
      <c r="B312" s="510">
        <v>230</v>
      </c>
      <c r="E312" s="241">
        <f t="shared" si="7"/>
        <v>230</v>
      </c>
    </row>
    <row r="313" spans="2:5" ht="60.75" customHeight="1" hidden="1">
      <c r="B313" s="510">
        <v>231</v>
      </c>
      <c r="E313" s="241">
        <f t="shared" si="7"/>
        <v>231</v>
      </c>
    </row>
    <row r="314" spans="2:5" ht="60.75" customHeight="1" hidden="1">
      <c r="B314" s="510">
        <v>232</v>
      </c>
      <c r="E314" s="241">
        <f t="shared" si="7"/>
        <v>232</v>
      </c>
    </row>
    <row r="315" spans="2:5" ht="60.75" customHeight="1" hidden="1">
      <c r="B315" s="510">
        <v>233</v>
      </c>
      <c r="E315" s="241">
        <f t="shared" si="7"/>
        <v>233</v>
      </c>
    </row>
    <row r="316" spans="2:5" ht="60.75" customHeight="1" hidden="1">
      <c r="B316" s="510">
        <v>234</v>
      </c>
      <c r="E316" s="241">
        <f t="shared" si="7"/>
        <v>234</v>
      </c>
    </row>
    <row r="317" spans="2:5" ht="60.75" customHeight="1" hidden="1">
      <c r="B317" s="510">
        <v>235</v>
      </c>
      <c r="E317" s="241">
        <f t="shared" si="7"/>
        <v>235</v>
      </c>
    </row>
    <row r="318" spans="2:5" ht="60.75" customHeight="1" hidden="1">
      <c r="B318" s="510">
        <v>236</v>
      </c>
      <c r="E318" s="241">
        <f t="shared" si="7"/>
        <v>236</v>
      </c>
    </row>
    <row r="319" spans="2:5" ht="60.75" customHeight="1" hidden="1">
      <c r="B319" s="510">
        <v>237</v>
      </c>
      <c r="E319" s="241">
        <f t="shared" si="7"/>
        <v>237</v>
      </c>
    </row>
    <row r="320" spans="2:5" ht="60.75" customHeight="1" hidden="1">
      <c r="B320" s="510">
        <v>238</v>
      </c>
      <c r="E320" s="241">
        <f t="shared" si="7"/>
        <v>238</v>
      </c>
    </row>
    <row r="321" spans="2:5" ht="60.75" customHeight="1" hidden="1">
      <c r="B321" s="510">
        <v>239</v>
      </c>
      <c r="E321" s="241">
        <f t="shared" si="7"/>
        <v>239</v>
      </c>
    </row>
    <row r="322" spans="2:5" ht="60.75" customHeight="1" hidden="1">
      <c r="B322" s="510">
        <v>240</v>
      </c>
      <c r="E322" s="241">
        <f t="shared" si="7"/>
        <v>240</v>
      </c>
    </row>
    <row r="323" spans="2:5" ht="60.75" customHeight="1" hidden="1">
      <c r="B323" s="510">
        <v>241</v>
      </c>
      <c r="E323" s="241">
        <f t="shared" si="7"/>
        <v>241</v>
      </c>
    </row>
    <row r="324" spans="2:5" ht="60.75" customHeight="1" hidden="1">
      <c r="B324" s="510">
        <v>242</v>
      </c>
      <c r="E324" s="241">
        <f t="shared" si="7"/>
        <v>242</v>
      </c>
    </row>
    <row r="325" spans="2:5" ht="60.75" customHeight="1" hidden="1">
      <c r="B325" s="510">
        <v>243</v>
      </c>
      <c r="E325" s="241">
        <f t="shared" si="7"/>
        <v>243</v>
      </c>
    </row>
    <row r="326" spans="2:5" ht="60.75" customHeight="1" hidden="1">
      <c r="B326" s="510">
        <v>244</v>
      </c>
      <c r="E326" s="241">
        <f t="shared" si="7"/>
        <v>244</v>
      </c>
    </row>
    <row r="327" spans="2:5" ht="60.75" customHeight="1" hidden="1">
      <c r="B327" s="510">
        <v>245</v>
      </c>
      <c r="E327" s="241">
        <f t="shared" si="7"/>
        <v>245</v>
      </c>
    </row>
    <row r="328" spans="2:5" ht="60.75" customHeight="1" hidden="1">
      <c r="B328" s="510">
        <v>246</v>
      </c>
      <c r="E328" s="241">
        <f t="shared" si="7"/>
        <v>246</v>
      </c>
    </row>
    <row r="329" spans="2:5" ht="60.75" customHeight="1" hidden="1">
      <c r="B329" s="510">
        <v>247</v>
      </c>
      <c r="E329" s="241">
        <f t="shared" si="7"/>
        <v>247</v>
      </c>
    </row>
    <row r="330" spans="2:5" ht="60.75" customHeight="1" hidden="1">
      <c r="B330" s="510">
        <v>248</v>
      </c>
      <c r="E330" s="241">
        <f t="shared" si="7"/>
        <v>248</v>
      </c>
    </row>
    <row r="331" spans="2:5" ht="60.75" customHeight="1" hidden="1">
      <c r="B331" s="510">
        <v>249</v>
      </c>
      <c r="E331" s="241">
        <f t="shared" si="7"/>
        <v>249</v>
      </c>
    </row>
    <row r="332" ht="60.75" customHeight="1" hidden="1"/>
    <row r="333" ht="60.75" customHeight="1" hidden="1"/>
    <row r="334" ht="60.75" customHeight="1" hidden="1"/>
    <row r="335" ht="60.75" customHeight="1" hidden="1"/>
    <row r="336" ht="60.75" customHeight="1" hidden="1"/>
    <row r="337" ht="60.75" customHeight="1" hidden="1"/>
    <row r="338" ht="60.75" customHeight="1" hidden="1"/>
    <row r="339" ht="60.75" customHeight="1" hidden="1"/>
    <row r="340" ht="60.75" customHeight="1" hidden="1"/>
    <row r="341" ht="60.75" customHeight="1" hidden="1"/>
    <row r="342" ht="60.75" customHeight="1" hidden="1"/>
    <row r="343" ht="60.75" customHeight="1" hidden="1"/>
    <row r="344" ht="60.75" customHeight="1" hidden="1"/>
    <row r="345" ht="60.75" customHeight="1" hidden="1"/>
    <row r="346" ht="60.75" customHeight="1" hidden="1"/>
    <row r="347" ht="60.75" customHeight="1" hidden="1"/>
    <row r="348" ht="60.75" customHeight="1" hidden="1"/>
    <row r="349" ht="60.75" customHeight="1" hidden="1"/>
    <row r="350" ht="60.75" customHeight="1" hidden="1"/>
    <row r="351" ht="60.75" customHeight="1" hidden="1"/>
    <row r="352" ht="60.75" customHeight="1" hidden="1"/>
    <row r="353" ht="60.75" customHeight="1" hidden="1"/>
    <row r="354" ht="60.75" customHeight="1" hidden="1"/>
    <row r="355" ht="60.75" customHeight="1"/>
    <row r="356" ht="60.75" customHeight="1"/>
    <row r="357" ht="60.75" customHeight="1"/>
  </sheetData>
  <sheetProtection formatColumns="0" formatRows="0"/>
  <mergeCells count="4">
    <mergeCell ref="E7:M7"/>
    <mergeCell ref="B68:M68"/>
    <mergeCell ref="B3:B4"/>
    <mergeCell ref="E3:E4"/>
  </mergeCells>
  <conditionalFormatting sqref="C40:C43">
    <cfRule type="expression" priority="2" dxfId="0" stopIfTrue="1">
      <formula>AND(OR($C$5="New Operator",$C$5="Existing Operator"),$C40&gt;0)</formula>
    </cfRule>
  </conditionalFormatting>
  <dataValidations count="6">
    <dataValidation type="list" allowBlank="1" showInputMessage="1" showErrorMessage="1" sqref="M90 I90 G90 K90 M81 K81 I81 G81">
      <formula1>$B$95:$B$96</formula1>
    </dataValidation>
    <dataValidation type="list" allowBlank="1" showInputMessage="1" showErrorMessage="1" sqref="E3">
      <formula1>#REF!</formula1>
    </dataValidation>
    <dataValidation type="list" allowBlank="1" showInputMessage="1" showErrorMessage="1" sqref="E45 G45 I45 K45 M45">
      <formula1>$B$100:$B$181</formula1>
    </dataValidation>
    <dataValidation type="list" allowBlank="1" showInputMessage="1" showErrorMessage="1" sqref="E58 G58 I58 K58 M58">
      <formula1>$E$101:$E$331</formula1>
    </dataValidation>
    <dataValidation type="list" allowBlank="1" showInputMessage="1" showErrorMessage="1" sqref="E40 G40 I40 K40 M40">
      <formula1>$B$98:$B$99</formula1>
    </dataValidation>
    <dataValidation type="list" operator="greaterThan" allowBlank="1" showInputMessage="1" showErrorMessage="1" sqref="E52 G52 I52 K52 M52">
      <formula1>$B$100:$B$101</formula1>
    </dataValidation>
  </dataValidations>
  <printOptions/>
  <pageMargins left="0.7" right="0.7" top="0.75" bottom="0.75" header="0.3" footer="0.3"/>
  <pageSetup horizontalDpi="600" verticalDpi="600" orientation="landscape" scale="55" r:id="rId1"/>
  <rowBreaks count="1" manualBreakCount="1">
    <brk id="67" max="13" man="1"/>
  </rowBreaks>
</worksheet>
</file>

<file path=xl/worksheets/sheet11.xml><?xml version="1.0" encoding="utf-8"?>
<worksheet xmlns="http://schemas.openxmlformats.org/spreadsheetml/2006/main" xmlns:r="http://schemas.openxmlformats.org/officeDocument/2006/relationships">
  <dimension ref="A2:P14"/>
  <sheetViews>
    <sheetView zoomScalePageLayoutView="0" workbookViewId="0" topLeftCell="E1">
      <selection activeCell="O7" sqref="O7"/>
    </sheetView>
  </sheetViews>
  <sheetFormatPr defaultColWidth="9.140625" defaultRowHeight="12.75"/>
  <cols>
    <col min="1" max="1" width="29.57421875" style="0" customWidth="1"/>
    <col min="2" max="4" width="15.140625" style="0" customWidth="1"/>
    <col min="5" max="7" width="14.8515625" style="0" customWidth="1"/>
    <col min="8" max="16" width="12.421875" style="0" customWidth="1"/>
  </cols>
  <sheetData>
    <row r="1" ht="6.75" customHeight="1" thickBot="1"/>
    <row r="2" spans="1:16" ht="12">
      <c r="A2" s="561"/>
      <c r="B2" s="697" t="s">
        <v>384</v>
      </c>
      <c r="C2" s="698"/>
      <c r="D2" s="699"/>
      <c r="E2" s="697" t="s">
        <v>385</v>
      </c>
      <c r="F2" s="698"/>
      <c r="G2" s="699"/>
      <c r="H2" s="697" t="s">
        <v>386</v>
      </c>
      <c r="I2" s="698"/>
      <c r="J2" s="699"/>
      <c r="K2" s="697" t="s">
        <v>387</v>
      </c>
      <c r="L2" s="700"/>
      <c r="M2" s="701"/>
      <c r="N2" s="697" t="s">
        <v>388</v>
      </c>
      <c r="O2" s="700"/>
      <c r="P2" s="701"/>
    </row>
    <row r="3" spans="1:16" ht="34.5" customHeight="1">
      <c r="A3" s="562"/>
      <c r="B3" s="552" t="s">
        <v>372</v>
      </c>
      <c r="C3" s="553" t="s">
        <v>373</v>
      </c>
      <c r="D3" s="554" t="s">
        <v>374</v>
      </c>
      <c r="E3" s="552" t="s">
        <v>372</v>
      </c>
      <c r="F3" s="553" t="s">
        <v>373</v>
      </c>
      <c r="G3" s="554" t="s">
        <v>374</v>
      </c>
      <c r="H3" s="552" t="s">
        <v>372</v>
      </c>
      <c r="I3" s="553" t="s">
        <v>373</v>
      </c>
      <c r="J3" s="554" t="s">
        <v>374</v>
      </c>
      <c r="K3" s="552" t="s">
        <v>372</v>
      </c>
      <c r="L3" s="553" t="s">
        <v>373</v>
      </c>
      <c r="M3" s="554" t="s">
        <v>374</v>
      </c>
      <c r="N3" s="552" t="s">
        <v>372</v>
      </c>
      <c r="O3" s="553" t="s">
        <v>373</v>
      </c>
      <c r="P3" s="554" t="s">
        <v>374</v>
      </c>
    </row>
    <row r="4" spans="1:16" ht="12">
      <c r="A4" s="562" t="s">
        <v>375</v>
      </c>
      <c r="B4" s="555">
        <v>11500</v>
      </c>
      <c r="C4" s="556">
        <v>11</v>
      </c>
      <c r="D4" s="557">
        <f>C4*B4</f>
        <v>126500</v>
      </c>
      <c r="E4" s="555">
        <v>11500</v>
      </c>
      <c r="F4" s="556">
        <v>16</v>
      </c>
      <c r="G4" s="557">
        <f>F4*E4</f>
        <v>184000</v>
      </c>
      <c r="H4" s="555">
        <v>11500</v>
      </c>
      <c r="I4" s="556">
        <v>21</v>
      </c>
      <c r="J4" s="557">
        <f>I4*H4</f>
        <v>241500</v>
      </c>
      <c r="K4" s="555">
        <v>11500</v>
      </c>
      <c r="L4" s="556">
        <v>21</v>
      </c>
      <c r="M4" s="557">
        <f>L4*K4</f>
        <v>241500</v>
      </c>
      <c r="N4" s="555">
        <v>11500</v>
      </c>
      <c r="O4" s="556">
        <v>21</v>
      </c>
      <c r="P4" s="557">
        <f>O4*N4</f>
        <v>241500</v>
      </c>
    </row>
    <row r="5" spans="1:16" ht="12">
      <c r="A5" s="562" t="s">
        <v>376</v>
      </c>
      <c r="B5" s="555">
        <v>13800</v>
      </c>
      <c r="C5" s="556">
        <v>2</v>
      </c>
      <c r="D5" s="557">
        <f>C5*B5</f>
        <v>27600</v>
      </c>
      <c r="E5" s="555">
        <v>13800</v>
      </c>
      <c r="F5" s="556">
        <v>3</v>
      </c>
      <c r="G5" s="557">
        <f>F5*E5</f>
        <v>41400</v>
      </c>
      <c r="H5" s="555">
        <v>13800</v>
      </c>
      <c r="I5" s="556">
        <v>4</v>
      </c>
      <c r="J5" s="557">
        <f>I5*H5</f>
        <v>55200</v>
      </c>
      <c r="K5" s="555">
        <v>13800</v>
      </c>
      <c r="L5" s="556">
        <v>4</v>
      </c>
      <c r="M5" s="557">
        <f>L5*K5</f>
        <v>55200</v>
      </c>
      <c r="N5" s="555">
        <v>13800</v>
      </c>
      <c r="O5" s="556">
        <v>4</v>
      </c>
      <c r="P5" s="557">
        <f>O5*N5</f>
        <v>55200</v>
      </c>
    </row>
    <row r="6" spans="1:16" ht="12">
      <c r="A6" s="562" t="s">
        <v>377</v>
      </c>
      <c r="B6" s="555">
        <v>17250</v>
      </c>
      <c r="C6" s="556">
        <v>1</v>
      </c>
      <c r="D6" s="557">
        <f>C6*B6</f>
        <v>17250</v>
      </c>
      <c r="E6" s="555">
        <v>17250</v>
      </c>
      <c r="F6" s="556">
        <v>1</v>
      </c>
      <c r="G6" s="557">
        <f>F6*E6</f>
        <v>17250</v>
      </c>
      <c r="H6" s="555">
        <v>17250</v>
      </c>
      <c r="I6" s="556">
        <v>2</v>
      </c>
      <c r="J6" s="557">
        <f>I6*H6</f>
        <v>34500</v>
      </c>
      <c r="K6" s="555">
        <v>17250</v>
      </c>
      <c r="L6" s="556">
        <v>2</v>
      </c>
      <c r="M6" s="557">
        <f>L6*K6</f>
        <v>34500</v>
      </c>
      <c r="N6" s="555">
        <v>17250</v>
      </c>
      <c r="O6" s="556">
        <v>2</v>
      </c>
      <c r="P6" s="557">
        <f>O6*N6</f>
        <v>34500</v>
      </c>
    </row>
    <row r="7" spans="1:16" ht="12">
      <c r="A7" s="562" t="s">
        <v>378</v>
      </c>
      <c r="B7" s="555">
        <v>920</v>
      </c>
      <c r="C7" s="556">
        <f>90*0.8</f>
        <v>72</v>
      </c>
      <c r="D7" s="557">
        <f>C7*B7</f>
        <v>66240</v>
      </c>
      <c r="E7" s="555">
        <v>920</v>
      </c>
      <c r="F7" s="556">
        <f>90*0.8</f>
        <v>72</v>
      </c>
      <c r="G7" s="557">
        <f>F7*E7</f>
        <v>66240</v>
      </c>
      <c r="H7" s="555">
        <v>920</v>
      </c>
      <c r="I7" s="556">
        <f>180*0.75</f>
        <v>135</v>
      </c>
      <c r="J7" s="557">
        <f>I7*H7</f>
        <v>124200</v>
      </c>
      <c r="K7" s="555">
        <v>920</v>
      </c>
      <c r="L7" s="556">
        <f>180*0.75</f>
        <v>135</v>
      </c>
      <c r="M7" s="557">
        <f>L7*K7</f>
        <v>124200</v>
      </c>
      <c r="N7" s="555">
        <v>920</v>
      </c>
      <c r="O7" s="556">
        <f>180*0.75</f>
        <v>135</v>
      </c>
      <c r="P7" s="557">
        <f>O7*N7</f>
        <v>124200</v>
      </c>
    </row>
    <row r="8" spans="1:16" ht="12.75" thickBot="1">
      <c r="A8" s="563" t="s">
        <v>379</v>
      </c>
      <c r="B8" s="558">
        <v>1457.75</v>
      </c>
      <c r="C8" s="559">
        <v>90</v>
      </c>
      <c r="D8" s="560">
        <f>C8*B8</f>
        <v>131197.5</v>
      </c>
      <c r="E8" s="558">
        <v>1457.75</v>
      </c>
      <c r="F8" s="559">
        <v>135</v>
      </c>
      <c r="G8" s="560">
        <f>F8*E8</f>
        <v>196796.25</v>
      </c>
      <c r="H8" s="558">
        <v>1457.75</v>
      </c>
      <c r="I8" s="559">
        <v>180</v>
      </c>
      <c r="J8" s="560">
        <f>I8*H8</f>
        <v>262395</v>
      </c>
      <c r="K8" s="558">
        <v>1457.75</v>
      </c>
      <c r="L8" s="559">
        <v>180</v>
      </c>
      <c r="M8" s="560">
        <f>L8*K8</f>
        <v>262395</v>
      </c>
      <c r="N8" s="558">
        <v>1457.75</v>
      </c>
      <c r="O8" s="559">
        <v>180</v>
      </c>
      <c r="P8" s="560">
        <f>O8*N8</f>
        <v>262395</v>
      </c>
    </row>
    <row r="9" spans="1:3" ht="12">
      <c r="A9" s="549"/>
      <c r="B9" s="550"/>
      <c r="C9" s="550"/>
    </row>
    <row r="10" spans="1:3" ht="12">
      <c r="A10" s="549"/>
      <c r="B10" s="550"/>
      <c r="C10" s="550"/>
    </row>
    <row r="11" ht="12">
      <c r="A11" s="551" t="s">
        <v>380</v>
      </c>
    </row>
    <row r="12" ht="12">
      <c r="A12" t="s">
        <v>381</v>
      </c>
    </row>
    <row r="13" ht="12">
      <c r="A13" t="s">
        <v>382</v>
      </c>
    </row>
    <row r="14" ht="12">
      <c r="A14" t="s">
        <v>383</v>
      </c>
    </row>
  </sheetData>
  <sheetProtection/>
  <mergeCells count="5">
    <mergeCell ref="B2:D2"/>
    <mergeCell ref="E2:G2"/>
    <mergeCell ref="H2:J2"/>
    <mergeCell ref="K2:M2"/>
    <mergeCell ref="N2:P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1"/>
  <dimension ref="A1:T192"/>
  <sheetViews>
    <sheetView tabSelected="1" zoomScale="43" zoomScaleNormal="43" zoomScalePageLayoutView="0" workbookViewId="0" topLeftCell="A1">
      <selection activeCell="H149" sqref="H149"/>
    </sheetView>
  </sheetViews>
  <sheetFormatPr defaultColWidth="8.8515625" defaultRowHeight="12.75"/>
  <cols>
    <col min="1" max="1" width="76.00390625" style="195" customWidth="1"/>
    <col min="2" max="2" width="4.8515625" style="195" customWidth="1"/>
    <col min="3" max="6" width="17.140625" style="241" customWidth="1"/>
    <col min="7" max="7" width="4.8515625" style="195" customWidth="1"/>
    <col min="8" max="8" width="57.00390625" style="195" customWidth="1"/>
    <col min="9" max="9" width="3.00390625" style="195" customWidth="1"/>
    <col min="10" max="10" width="19.8515625" style="195" customWidth="1"/>
    <col min="11" max="11" width="2.28125" style="195" customWidth="1"/>
    <col min="12" max="12" width="18.421875" style="195" customWidth="1"/>
    <col min="13" max="13" width="2.7109375" style="195" customWidth="1"/>
    <col min="14" max="14" width="18.7109375" style="195" customWidth="1"/>
    <col min="15" max="15" width="2.57421875" style="195" customWidth="1"/>
    <col min="16" max="16" width="18.7109375" style="195" customWidth="1"/>
    <col min="17" max="17" width="3.00390625" style="248" customWidth="1"/>
    <col min="18" max="18" width="18.7109375" style="195" customWidth="1"/>
    <col min="19" max="19" width="3.421875" style="248" customWidth="1"/>
    <col min="20" max="20" width="18.7109375" style="195" customWidth="1"/>
    <col min="21" max="16384" width="8.8515625" style="195" customWidth="1"/>
  </cols>
  <sheetData>
    <row r="1" spans="1:19" ht="15.75" thickBot="1">
      <c r="A1" s="152" t="s">
        <v>161</v>
      </c>
      <c r="B1" s="400"/>
      <c r="C1" s="401"/>
      <c r="D1" s="401"/>
      <c r="E1" s="401"/>
      <c r="F1" s="401"/>
      <c r="G1" s="400"/>
      <c r="H1" s="400"/>
      <c r="I1" s="400"/>
      <c r="J1" s="402"/>
      <c r="K1" s="402"/>
      <c r="L1" s="402"/>
      <c r="M1" s="402"/>
      <c r="N1" s="402"/>
      <c r="O1" s="402"/>
      <c r="P1" s="402"/>
      <c r="Q1" s="403"/>
      <c r="R1" s="404"/>
      <c r="S1" s="405"/>
    </row>
    <row r="2" spans="1:19" ht="22.5" customHeight="1" thickBot="1">
      <c r="A2" s="229" t="s">
        <v>409</v>
      </c>
      <c r="B2" s="406"/>
      <c r="C2" s="407"/>
      <c r="D2" s="407"/>
      <c r="E2" s="407"/>
      <c r="F2" s="407"/>
      <c r="G2" s="406"/>
      <c r="H2" s="406"/>
      <c r="I2" s="406"/>
      <c r="J2" s="408"/>
      <c r="K2" s="408"/>
      <c r="L2" s="408"/>
      <c r="M2" s="408"/>
      <c r="N2" s="408"/>
      <c r="O2" s="408"/>
      <c r="P2" s="408"/>
      <c r="Q2" s="409"/>
      <c r="R2" s="404"/>
      <c r="S2" s="405"/>
    </row>
    <row r="3" spans="1:19" ht="15">
      <c r="A3" s="406"/>
      <c r="B3" s="406"/>
      <c r="C3" s="407"/>
      <c r="D3" s="407"/>
      <c r="E3" s="407"/>
      <c r="F3" s="407"/>
      <c r="G3" s="406"/>
      <c r="H3" s="406"/>
      <c r="I3" s="406"/>
      <c r="J3" s="408"/>
      <c r="K3" s="408"/>
      <c r="L3" s="408"/>
      <c r="M3" s="408"/>
      <c r="N3" s="408"/>
      <c r="O3" s="408"/>
      <c r="P3" s="408"/>
      <c r="Q3" s="409"/>
      <c r="R3" s="404"/>
      <c r="S3" s="405"/>
    </row>
    <row r="4" spans="1:19" ht="15">
      <c r="A4" s="410"/>
      <c r="B4" s="411"/>
      <c r="C4" s="411"/>
      <c r="D4" s="411"/>
      <c r="E4" s="411"/>
      <c r="F4" s="411"/>
      <c r="G4" s="411"/>
      <c r="H4" s="411"/>
      <c r="I4" s="411"/>
      <c r="J4" s="411"/>
      <c r="K4" s="411"/>
      <c r="L4" s="411"/>
      <c r="M4" s="411"/>
      <c r="N4" s="411"/>
      <c r="O4" s="412"/>
      <c r="P4" s="412"/>
      <c r="Q4" s="410"/>
      <c r="R4" s="412"/>
      <c r="S4" s="405"/>
    </row>
    <row r="5" spans="1:19" ht="22.5">
      <c r="A5" s="413"/>
      <c r="B5" s="414"/>
      <c r="C5" s="415"/>
      <c r="D5" s="415"/>
      <c r="E5" s="415"/>
      <c r="F5" s="415"/>
      <c r="G5" s="414"/>
      <c r="H5" s="414"/>
      <c r="I5" s="414"/>
      <c r="J5" s="416"/>
      <c r="K5" s="416"/>
      <c r="L5" s="416"/>
      <c r="M5" s="416"/>
      <c r="N5" s="416"/>
      <c r="O5" s="416"/>
      <c r="P5" s="417"/>
      <c r="Q5" s="418"/>
      <c r="R5" s="419"/>
      <c r="S5" s="420"/>
    </row>
    <row r="6" spans="1:20" ht="16.5" customHeight="1" thickBot="1">
      <c r="A6" s="419"/>
      <c r="B6" s="419"/>
      <c r="C6" s="421"/>
      <c r="D6" s="421"/>
      <c r="E6" s="421"/>
      <c r="F6" s="421"/>
      <c r="G6" s="419"/>
      <c r="H6" s="419"/>
      <c r="I6" s="419"/>
      <c r="R6" s="422"/>
      <c r="T6" s="422"/>
    </row>
    <row r="7" spans="1:10" ht="30" customHeight="1" thickBot="1">
      <c r="A7" s="42"/>
      <c r="B7" s="423"/>
      <c r="C7" s="707" t="s">
        <v>91</v>
      </c>
      <c r="D7" s="710" t="s">
        <v>93</v>
      </c>
      <c r="E7" s="713" t="s">
        <v>109</v>
      </c>
      <c r="F7" s="713" t="s">
        <v>108</v>
      </c>
      <c r="G7" s="423"/>
      <c r="H7" s="713" t="s">
        <v>96</v>
      </c>
      <c r="I7" s="423"/>
      <c r="J7" s="705" t="s">
        <v>359</v>
      </c>
    </row>
    <row r="8" spans="1:20" ht="31.5" customHeight="1" thickBot="1">
      <c r="A8" s="424"/>
      <c r="B8" s="423"/>
      <c r="C8" s="708"/>
      <c r="D8" s="711"/>
      <c r="E8" s="714"/>
      <c r="F8" s="714"/>
      <c r="G8" s="423"/>
      <c r="H8" s="714"/>
      <c r="I8" s="423"/>
      <c r="J8" s="706"/>
      <c r="K8" s="419"/>
      <c r="L8" s="702" t="s">
        <v>212</v>
      </c>
      <c r="M8" s="703"/>
      <c r="N8" s="703"/>
      <c r="O8" s="703"/>
      <c r="P8" s="703"/>
      <c r="Q8" s="703"/>
      <c r="R8" s="703"/>
      <c r="S8" s="703"/>
      <c r="T8" s="704"/>
    </row>
    <row r="9" spans="1:20" ht="23.25" thickBot="1">
      <c r="A9" s="79" t="s">
        <v>62</v>
      </c>
      <c r="B9" s="424"/>
      <c r="C9" s="709"/>
      <c r="D9" s="712"/>
      <c r="E9" s="715"/>
      <c r="F9" s="715"/>
      <c r="G9" s="424"/>
      <c r="H9" s="715"/>
      <c r="I9" s="424"/>
      <c r="J9" s="329">
        <v>2021</v>
      </c>
      <c r="K9" s="423"/>
      <c r="L9" s="425">
        <f>J9+1</f>
        <v>2022</v>
      </c>
      <c r="M9" s="426"/>
      <c r="N9" s="425">
        <f>L9+1</f>
        <v>2023</v>
      </c>
      <c r="O9" s="426"/>
      <c r="P9" s="425">
        <f>N9+1</f>
        <v>2024</v>
      </c>
      <c r="Q9" s="426"/>
      <c r="R9" s="425">
        <f>P9+1</f>
        <v>2025</v>
      </c>
      <c r="S9" s="427"/>
      <c r="T9" s="425">
        <f>R9+1</f>
        <v>2026</v>
      </c>
    </row>
    <row r="10" spans="1:20" ht="30.75" thickBot="1">
      <c r="A10" s="119" t="s">
        <v>366</v>
      </c>
      <c r="B10" s="428"/>
      <c r="C10" s="134" t="s">
        <v>92</v>
      </c>
      <c r="D10" s="134" t="s">
        <v>92</v>
      </c>
      <c r="E10" s="134" t="s">
        <v>92</v>
      </c>
      <c r="F10" s="134" t="s">
        <v>92</v>
      </c>
      <c r="G10" s="428"/>
      <c r="H10" s="93" t="s">
        <v>485</v>
      </c>
      <c r="I10" s="428"/>
      <c r="J10" s="101">
        <v>0</v>
      </c>
      <c r="K10" s="263"/>
      <c r="L10" s="101">
        <f>SUM('Revenues-SBB &amp; Non-SBB'!B16:D16)</f>
        <v>657326.7</v>
      </c>
      <c r="N10" s="101">
        <f>SUM('Revenues-SBB &amp; Non-SBB'!B28:D28)</f>
        <v>985990.05</v>
      </c>
      <c r="P10" s="101">
        <f>SUM('Revenues-SBB &amp; Non-SBB'!B40:D40)</f>
        <v>1314653.4</v>
      </c>
      <c r="R10" s="101">
        <f>SUM('Revenues-SBB &amp; Non-SBB'!B52:D52)</f>
        <v>1314653.4</v>
      </c>
      <c r="T10" s="101">
        <f>SUM('Revenues-SBB &amp; Non-SBB'!B63:D63)</f>
        <v>1314653.4</v>
      </c>
    </row>
    <row r="11" spans="1:20" ht="15" thickBot="1">
      <c r="A11" s="120" t="s">
        <v>305</v>
      </c>
      <c r="B11" s="428"/>
      <c r="C11" s="134" t="s">
        <v>92</v>
      </c>
      <c r="D11" s="134" t="s">
        <v>92</v>
      </c>
      <c r="E11" s="134" t="s">
        <v>92</v>
      </c>
      <c r="F11" s="134" t="s">
        <v>92</v>
      </c>
      <c r="G11" s="428"/>
      <c r="H11" s="93" t="s">
        <v>459</v>
      </c>
      <c r="I11" s="428"/>
      <c r="J11" s="101">
        <v>0</v>
      </c>
      <c r="K11" s="264"/>
      <c r="L11" s="544"/>
      <c r="M11" s="545"/>
      <c r="N11" s="544"/>
      <c r="O11" s="545"/>
      <c r="P11" s="544"/>
      <c r="Q11" s="546"/>
      <c r="R11" s="544"/>
      <c r="S11" s="547"/>
      <c r="T11" s="544"/>
    </row>
    <row r="12" spans="1:20" ht="30" thickBot="1">
      <c r="A12" s="120" t="s">
        <v>46</v>
      </c>
      <c r="B12" s="428"/>
      <c r="C12" s="134" t="s">
        <v>92</v>
      </c>
      <c r="D12" s="134" t="s">
        <v>92</v>
      </c>
      <c r="E12" s="134" t="s">
        <v>92</v>
      </c>
      <c r="F12" s="134" t="s">
        <v>92</v>
      </c>
      <c r="G12" s="428"/>
      <c r="H12" s="93" t="s">
        <v>461</v>
      </c>
      <c r="I12" s="428"/>
      <c r="J12" s="101">
        <v>0</v>
      </c>
      <c r="K12" s="264"/>
      <c r="L12" s="101">
        <f>'Revenues-Federal &amp; State '!E16</f>
        <v>32809</v>
      </c>
      <c r="M12" s="265"/>
      <c r="N12" s="101">
        <f>'Revenues-Federal &amp; State '!G16</f>
        <v>49595</v>
      </c>
      <c r="O12" s="265"/>
      <c r="P12" s="101">
        <f>'Revenues-Federal &amp; State '!I16</f>
        <v>56214</v>
      </c>
      <c r="Q12" s="266"/>
      <c r="R12" s="101">
        <f>'Revenues-Federal &amp; State '!K16</f>
        <v>56214</v>
      </c>
      <c r="S12" s="262"/>
      <c r="T12" s="101">
        <f>'Revenues-Federal &amp; State '!M16</f>
        <v>56214</v>
      </c>
    </row>
    <row r="13" spans="1:20" ht="15" thickBot="1">
      <c r="A13" s="120" t="s">
        <v>226</v>
      </c>
      <c r="B13" s="428"/>
      <c r="C13" s="134" t="s">
        <v>92</v>
      </c>
      <c r="D13" s="134" t="s">
        <v>92</v>
      </c>
      <c r="E13" s="134" t="s">
        <v>92</v>
      </c>
      <c r="F13" s="134" t="s">
        <v>92</v>
      </c>
      <c r="G13" s="428"/>
      <c r="H13" s="93" t="s">
        <v>462</v>
      </c>
      <c r="I13" s="428"/>
      <c r="J13" s="101">
        <v>0</v>
      </c>
      <c r="K13" s="264"/>
      <c r="L13" s="101">
        <f>'Revenues-Federal &amp; State '!E22</f>
        <v>6300</v>
      </c>
      <c r="M13" s="265"/>
      <c r="N13" s="101">
        <f>'Revenues-Federal &amp; State '!G22</f>
        <v>9450</v>
      </c>
      <c r="O13" s="265"/>
      <c r="P13" s="101">
        <f>'Revenues-Federal &amp; State '!I22</f>
        <v>12600</v>
      </c>
      <c r="Q13" s="266"/>
      <c r="R13" s="101">
        <f>'Revenues-Federal &amp; State '!K22</f>
        <v>12600</v>
      </c>
      <c r="S13" s="262"/>
      <c r="T13" s="101">
        <f>'Revenues-Federal &amp; State '!M22</f>
        <v>12600</v>
      </c>
    </row>
    <row r="14" spans="1:20" ht="30" thickBot="1">
      <c r="A14" s="120" t="s">
        <v>4</v>
      </c>
      <c r="B14" s="428"/>
      <c r="C14" s="134" t="s">
        <v>92</v>
      </c>
      <c r="D14" s="134" t="s">
        <v>92</v>
      </c>
      <c r="E14" s="134" t="s">
        <v>92</v>
      </c>
      <c r="F14" s="134" t="s">
        <v>92</v>
      </c>
      <c r="G14" s="428"/>
      <c r="H14" s="93" t="s">
        <v>463</v>
      </c>
      <c r="I14" s="428"/>
      <c r="J14" s="101">
        <v>0</v>
      </c>
      <c r="K14" s="264"/>
      <c r="L14" s="101">
        <f>'Revenues-Federal &amp; State '!E66</f>
        <v>0</v>
      </c>
      <c r="M14" s="265"/>
      <c r="N14" s="101">
        <f>'Revenues-Federal &amp; State '!G66</f>
        <v>0</v>
      </c>
      <c r="O14" s="265"/>
      <c r="P14" s="101">
        <f>'Revenues-Federal &amp; State '!I66</f>
        <v>0</v>
      </c>
      <c r="Q14" s="266"/>
      <c r="R14" s="101">
        <f>'Revenues-Federal &amp; State '!K66</f>
        <v>0</v>
      </c>
      <c r="S14" s="262"/>
      <c r="T14" s="101">
        <f>'Revenues-Federal &amp; State '!M66</f>
        <v>0</v>
      </c>
    </row>
    <row r="15" spans="1:20" ht="16.5" customHeight="1" hidden="1" thickBot="1">
      <c r="A15" s="120" t="s">
        <v>144</v>
      </c>
      <c r="B15" s="428"/>
      <c r="C15" s="134" t="s">
        <v>92</v>
      </c>
      <c r="D15" s="134" t="s">
        <v>92</v>
      </c>
      <c r="E15" s="134" t="s">
        <v>92</v>
      </c>
      <c r="F15" s="134" t="s">
        <v>92</v>
      </c>
      <c r="G15" s="428"/>
      <c r="H15" s="93"/>
      <c r="I15" s="428"/>
      <c r="J15" s="101">
        <v>0</v>
      </c>
      <c r="K15" s="265"/>
      <c r="L15" s="101">
        <v>0</v>
      </c>
      <c r="M15" s="265"/>
      <c r="N15" s="101">
        <v>0</v>
      </c>
      <c r="O15" s="265"/>
      <c r="P15" s="101">
        <v>0</v>
      </c>
      <c r="Q15" s="266"/>
      <c r="R15" s="101">
        <v>0</v>
      </c>
      <c r="S15" s="262"/>
      <c r="T15" s="101">
        <v>0</v>
      </c>
    </row>
    <row r="16" spans="1:20" ht="75" thickBot="1">
      <c r="A16" s="120" t="s">
        <v>17</v>
      </c>
      <c r="B16" s="428"/>
      <c r="C16" s="134" t="s">
        <v>92</v>
      </c>
      <c r="D16" s="134" t="s">
        <v>92</v>
      </c>
      <c r="E16" s="134" t="s">
        <v>92</v>
      </c>
      <c r="F16" s="134" t="s">
        <v>92</v>
      </c>
      <c r="G16" s="428"/>
      <c r="H16" s="565" t="s">
        <v>471</v>
      </c>
      <c r="I16" s="428"/>
      <c r="J16" s="15">
        <v>250000</v>
      </c>
      <c r="K16" s="265"/>
      <c r="L16" s="15">
        <v>75000</v>
      </c>
      <c r="M16" s="265"/>
      <c r="N16" s="15"/>
      <c r="O16" s="265"/>
      <c r="P16" s="15"/>
      <c r="Q16" s="266"/>
      <c r="R16" s="15"/>
      <c r="S16" s="262"/>
      <c r="T16" s="15"/>
    </row>
    <row r="17" spans="1:20" ht="15" thickBot="1">
      <c r="A17" s="120" t="s">
        <v>2</v>
      </c>
      <c r="B17" s="428"/>
      <c r="C17" s="134" t="s">
        <v>92</v>
      </c>
      <c r="D17" s="134" t="s">
        <v>92</v>
      </c>
      <c r="E17" s="134" t="s">
        <v>92</v>
      </c>
      <c r="F17" s="134" t="s">
        <v>92</v>
      </c>
      <c r="G17" s="428"/>
      <c r="H17" s="93" t="s">
        <v>464</v>
      </c>
      <c r="I17" s="428"/>
      <c r="J17" s="15"/>
      <c r="K17" s="265"/>
      <c r="L17" s="15"/>
      <c r="M17" s="265"/>
      <c r="N17" s="15"/>
      <c r="O17" s="265"/>
      <c r="P17" s="15"/>
      <c r="Q17" s="266"/>
      <c r="R17" s="15"/>
      <c r="S17" s="262"/>
      <c r="T17" s="15"/>
    </row>
    <row r="18" spans="1:20" ht="30" thickBot="1">
      <c r="A18" s="120" t="s">
        <v>33</v>
      </c>
      <c r="B18" s="428"/>
      <c r="C18" s="134" t="s">
        <v>92</v>
      </c>
      <c r="D18" s="134" t="s">
        <v>92</v>
      </c>
      <c r="E18" s="134" t="s">
        <v>92</v>
      </c>
      <c r="F18" s="134" t="s">
        <v>92</v>
      </c>
      <c r="G18" s="428"/>
      <c r="H18" s="565" t="s">
        <v>468</v>
      </c>
      <c r="I18" s="428"/>
      <c r="J18" s="15"/>
      <c r="K18" s="265"/>
      <c r="L18" s="15"/>
      <c r="M18" s="265"/>
      <c r="N18" s="15"/>
      <c r="O18" s="265"/>
      <c r="P18" s="15"/>
      <c r="Q18" s="266"/>
      <c r="R18" s="15"/>
      <c r="S18" s="262"/>
      <c r="T18" s="15"/>
    </row>
    <row r="19" spans="1:20" ht="15" thickBot="1">
      <c r="A19" s="120" t="s">
        <v>18</v>
      </c>
      <c r="B19" s="428"/>
      <c r="C19" s="134" t="s">
        <v>92</v>
      </c>
      <c r="D19" s="134" t="s">
        <v>92</v>
      </c>
      <c r="E19" s="134" t="s">
        <v>92</v>
      </c>
      <c r="F19" s="134" t="s">
        <v>92</v>
      </c>
      <c r="G19" s="428"/>
      <c r="H19" s="93" t="s">
        <v>92</v>
      </c>
      <c r="I19" s="428"/>
      <c r="J19" s="15"/>
      <c r="K19" s="265"/>
      <c r="L19" s="15"/>
      <c r="M19" s="265"/>
      <c r="N19" s="15"/>
      <c r="O19" s="265"/>
      <c r="P19" s="15"/>
      <c r="Q19" s="266"/>
      <c r="R19" s="15"/>
      <c r="S19" s="262"/>
      <c r="T19" s="15"/>
    </row>
    <row r="20" spans="1:20" ht="15" thickBot="1">
      <c r="A20" s="120" t="s">
        <v>169</v>
      </c>
      <c r="B20" s="428"/>
      <c r="C20" s="134" t="s">
        <v>92</v>
      </c>
      <c r="D20" s="134" t="s">
        <v>92</v>
      </c>
      <c r="E20" s="134" t="s">
        <v>92</v>
      </c>
      <c r="F20" s="134" t="s">
        <v>92</v>
      </c>
      <c r="G20" s="428"/>
      <c r="H20" s="93" t="s">
        <v>92</v>
      </c>
      <c r="I20" s="428"/>
      <c r="J20" s="15"/>
      <c r="K20" s="265"/>
      <c r="L20" s="15"/>
      <c r="M20" s="265"/>
      <c r="N20" s="15"/>
      <c r="O20" s="265"/>
      <c r="P20" s="15"/>
      <c r="Q20" s="266"/>
      <c r="R20" s="15"/>
      <c r="S20" s="262"/>
      <c r="T20" s="15"/>
    </row>
    <row r="21" spans="1:20" ht="45" thickBot="1">
      <c r="A21" s="568" t="s">
        <v>460</v>
      </c>
      <c r="B21" s="428"/>
      <c r="C21" s="134" t="s">
        <v>92</v>
      </c>
      <c r="D21" s="134" t="s">
        <v>92</v>
      </c>
      <c r="E21" s="134" t="s">
        <v>92</v>
      </c>
      <c r="F21" s="134" t="s">
        <v>92</v>
      </c>
      <c r="G21" s="428"/>
      <c r="H21" s="565" t="s">
        <v>469</v>
      </c>
      <c r="I21" s="428"/>
      <c r="J21" s="15"/>
      <c r="K21" s="265"/>
      <c r="L21" s="15">
        <f>'Revenues-- Local'!D4+'Revenues-- Local'!D5+'Revenues-- Local'!D6</f>
        <v>171350</v>
      </c>
      <c r="M21" s="265"/>
      <c r="N21" s="15">
        <f>'Revenues-- Local'!G4+'Revenues-- Local'!G5+'Revenues-- Local'!G6</f>
        <v>242650</v>
      </c>
      <c r="O21" s="265"/>
      <c r="P21" s="15">
        <f>'Revenues-- Local'!J4+'Revenues-- Local'!J5+'Revenues-- Local'!J6</f>
        <v>331200</v>
      </c>
      <c r="Q21" s="266"/>
      <c r="R21" s="15">
        <f>'Revenues-- Local'!M4+'Revenues-- Local'!M5+'Revenues-- Local'!M6</f>
        <v>331200</v>
      </c>
      <c r="S21" s="262"/>
      <c r="T21" s="15">
        <f>'Revenues-- Local'!P4+'Revenues-- Local'!P5+'Revenues-- Local'!P6</f>
        <v>331200</v>
      </c>
    </row>
    <row r="22" spans="1:20" ht="30" thickBot="1">
      <c r="A22" s="65" t="s">
        <v>378</v>
      </c>
      <c r="B22" s="428"/>
      <c r="C22" s="134" t="s">
        <v>92</v>
      </c>
      <c r="D22" s="134" t="s">
        <v>92</v>
      </c>
      <c r="E22" s="134" t="s">
        <v>92</v>
      </c>
      <c r="F22" s="134" t="s">
        <v>92</v>
      </c>
      <c r="G22" s="428"/>
      <c r="H22" s="565" t="s">
        <v>470</v>
      </c>
      <c r="I22" s="428"/>
      <c r="J22" s="15"/>
      <c r="K22" s="265"/>
      <c r="L22" s="15">
        <f>'Revenues-- Local'!D7</f>
        <v>66240</v>
      </c>
      <c r="M22" s="265"/>
      <c r="N22" s="15">
        <f>'Revenues-- Local'!G7</f>
        <v>66240</v>
      </c>
      <c r="O22" s="265"/>
      <c r="P22" s="15">
        <f>'Revenues-- Local'!J7</f>
        <v>124200</v>
      </c>
      <c r="Q22" s="266"/>
      <c r="R22" s="15">
        <f>'Revenues-- Local'!M7</f>
        <v>124200</v>
      </c>
      <c r="S22" s="262"/>
      <c r="T22" s="15">
        <f>'Revenues-- Local'!P7</f>
        <v>124200</v>
      </c>
    </row>
    <row r="23" spans="1:20" ht="45" thickBot="1">
      <c r="A23" s="65" t="s">
        <v>379</v>
      </c>
      <c r="B23" s="428"/>
      <c r="C23" s="134" t="s">
        <v>92</v>
      </c>
      <c r="D23" s="134" t="s">
        <v>92</v>
      </c>
      <c r="E23" s="134" t="s">
        <v>92</v>
      </c>
      <c r="F23" s="134" t="s">
        <v>92</v>
      </c>
      <c r="G23" s="428"/>
      <c r="H23" s="565" t="s">
        <v>484</v>
      </c>
      <c r="I23" s="428"/>
      <c r="J23" s="15"/>
      <c r="K23" s="265"/>
      <c r="L23" s="15">
        <f>'Revenues-- Local'!D8</f>
        <v>131197.5</v>
      </c>
      <c r="M23" s="265"/>
      <c r="N23" s="15">
        <f>'Revenues-- Local'!G8</f>
        <v>196796.25</v>
      </c>
      <c r="O23" s="265"/>
      <c r="P23" s="15">
        <f>'Revenues-- Local'!J8</f>
        <v>262395</v>
      </c>
      <c r="Q23" s="266"/>
      <c r="R23" s="15">
        <f>'Revenues-- Local'!M8</f>
        <v>262395</v>
      </c>
      <c r="S23" s="262"/>
      <c r="T23" s="15">
        <f>'Revenues-- Local'!P8</f>
        <v>262395</v>
      </c>
    </row>
    <row r="24" spans="1:20" ht="15" thickBot="1">
      <c r="A24" s="568"/>
      <c r="B24" s="428"/>
      <c r="C24" s="134" t="s">
        <v>92</v>
      </c>
      <c r="D24" s="134" t="s">
        <v>92</v>
      </c>
      <c r="E24" s="134" t="s">
        <v>92</v>
      </c>
      <c r="F24" s="134" t="s">
        <v>92</v>
      </c>
      <c r="G24" s="428"/>
      <c r="H24" s="93"/>
      <c r="I24" s="428"/>
      <c r="J24" s="15"/>
      <c r="K24" s="265"/>
      <c r="L24" s="15"/>
      <c r="M24" s="265"/>
      <c r="N24" s="15"/>
      <c r="O24" s="265"/>
      <c r="P24" s="15"/>
      <c r="Q24" s="266"/>
      <c r="R24" s="15"/>
      <c r="S24" s="262"/>
      <c r="T24" s="15"/>
    </row>
    <row r="25" spans="1:20" ht="15" thickBot="1">
      <c r="A25" s="65"/>
      <c r="B25" s="428"/>
      <c r="C25" s="134" t="s">
        <v>92</v>
      </c>
      <c r="D25" s="134" t="s">
        <v>92</v>
      </c>
      <c r="E25" s="134" t="s">
        <v>92</v>
      </c>
      <c r="F25" s="134" t="s">
        <v>92</v>
      </c>
      <c r="G25" s="428"/>
      <c r="H25" s="93"/>
      <c r="I25" s="428"/>
      <c r="J25" s="15"/>
      <c r="K25" s="265"/>
      <c r="L25" s="15"/>
      <c r="M25" s="265"/>
      <c r="N25" s="15"/>
      <c r="O25" s="265"/>
      <c r="P25" s="15"/>
      <c r="Q25" s="266"/>
      <c r="R25" s="15"/>
      <c r="S25" s="262"/>
      <c r="T25" s="15"/>
    </row>
    <row r="26" spans="1:20" ht="15" thickBot="1">
      <c r="A26" s="65"/>
      <c r="B26" s="428"/>
      <c r="C26" s="134" t="s">
        <v>92</v>
      </c>
      <c r="D26" s="134" t="s">
        <v>92</v>
      </c>
      <c r="E26" s="134" t="s">
        <v>92</v>
      </c>
      <c r="F26" s="134" t="s">
        <v>92</v>
      </c>
      <c r="G26" s="428"/>
      <c r="H26" s="93"/>
      <c r="I26" s="428"/>
      <c r="J26" s="15"/>
      <c r="K26" s="265"/>
      <c r="L26" s="15"/>
      <c r="M26" s="265"/>
      <c r="N26" s="15"/>
      <c r="O26" s="265"/>
      <c r="P26" s="15"/>
      <c r="Q26" s="267"/>
      <c r="R26" s="15"/>
      <c r="S26" s="262"/>
      <c r="T26" s="15"/>
    </row>
    <row r="27" spans="1:20" ht="15" thickBot="1">
      <c r="A27" s="429"/>
      <c r="B27" s="428"/>
      <c r="C27" s="430"/>
      <c r="D27" s="430"/>
      <c r="E27" s="430"/>
      <c r="F27" s="430"/>
      <c r="G27" s="428"/>
      <c r="H27" s="431"/>
      <c r="I27" s="428"/>
      <c r="J27" s="265"/>
      <c r="K27" s="265"/>
      <c r="L27" s="265"/>
      <c r="M27" s="265"/>
      <c r="N27" s="265"/>
      <c r="O27" s="265"/>
      <c r="P27" s="264"/>
      <c r="Q27" s="266"/>
      <c r="R27" s="40"/>
      <c r="S27" s="262"/>
      <c r="T27" s="40"/>
    </row>
    <row r="28" spans="2:20" ht="15" thickBot="1">
      <c r="B28" s="432"/>
      <c r="C28" s="82"/>
      <c r="D28" s="82"/>
      <c r="E28" s="82"/>
      <c r="F28" s="82"/>
      <c r="G28" s="432"/>
      <c r="H28" s="433" t="s">
        <v>20</v>
      </c>
      <c r="I28" s="432"/>
      <c r="J28" s="130">
        <f>SUM(J10:J26)</f>
        <v>250000</v>
      </c>
      <c r="K28" s="96"/>
      <c r="L28" s="130">
        <f>SUM(L10:L26)</f>
        <v>1140223.2</v>
      </c>
      <c r="M28" s="96"/>
      <c r="N28" s="130">
        <f>SUM(N10:N26)</f>
        <v>1550721.3</v>
      </c>
      <c r="O28" s="96"/>
      <c r="P28" s="130">
        <f>SUM(P10:P26)</f>
        <v>2101262.4</v>
      </c>
      <c r="Q28" s="97"/>
      <c r="R28" s="130">
        <f>SUM(R10:R26)</f>
        <v>2101262.4</v>
      </c>
      <c r="S28" s="247"/>
      <c r="T28" s="131">
        <f>SUM(T10:T26)</f>
        <v>2101262.4</v>
      </c>
    </row>
    <row r="29" spans="1:20" ht="15" thickBot="1">
      <c r="A29" s="429"/>
      <c r="B29" s="428"/>
      <c r="C29" s="430"/>
      <c r="D29" s="430"/>
      <c r="E29" s="430"/>
      <c r="F29" s="430"/>
      <c r="G29" s="428"/>
      <c r="H29" s="431"/>
      <c r="I29" s="428"/>
      <c r="J29" s="265"/>
      <c r="K29" s="265"/>
      <c r="L29" s="265"/>
      <c r="M29" s="265"/>
      <c r="N29" s="265"/>
      <c r="O29" s="265"/>
      <c r="P29" s="265"/>
      <c r="Q29" s="268"/>
      <c r="R29" s="40"/>
      <c r="S29" s="262"/>
      <c r="T29" s="40"/>
    </row>
    <row r="30" spans="1:20" ht="18" customHeight="1">
      <c r="A30" s="80" t="s">
        <v>19</v>
      </c>
      <c r="B30" s="428"/>
      <c r="C30" s="707" t="s">
        <v>91</v>
      </c>
      <c r="D30" s="710" t="s">
        <v>93</v>
      </c>
      <c r="E30" s="713" t="s">
        <v>109</v>
      </c>
      <c r="F30" s="713" t="s">
        <v>108</v>
      </c>
      <c r="G30" s="428"/>
      <c r="H30" s="713" t="s">
        <v>95</v>
      </c>
      <c r="I30" s="428"/>
      <c r="J30" s="265"/>
      <c r="K30" s="265"/>
      <c r="L30" s="265"/>
      <c r="M30" s="265"/>
      <c r="N30" s="265"/>
      <c r="O30" s="265"/>
      <c r="P30" s="265"/>
      <c r="Q30" s="268"/>
      <c r="R30" s="40"/>
      <c r="S30" s="262"/>
      <c r="T30" s="40"/>
    </row>
    <row r="31" spans="1:20" ht="32.25" customHeight="1" thickBot="1">
      <c r="A31" s="429"/>
      <c r="B31" s="428"/>
      <c r="C31" s="708"/>
      <c r="D31" s="711"/>
      <c r="E31" s="714"/>
      <c r="F31" s="714"/>
      <c r="G31" s="428"/>
      <c r="H31" s="714"/>
      <c r="I31" s="428"/>
      <c r="J31" s="269"/>
      <c r="K31" s="269"/>
      <c r="L31" s="269"/>
      <c r="M31" s="269"/>
      <c r="N31" s="269"/>
      <c r="O31" s="269"/>
      <c r="P31" s="269"/>
      <c r="Q31" s="270"/>
      <c r="R31" s="269"/>
      <c r="S31" s="262"/>
      <c r="T31" s="269"/>
    </row>
    <row r="32" spans="1:20" ht="18" thickBot="1">
      <c r="A32" s="160" t="s">
        <v>3</v>
      </c>
      <c r="B32" s="434"/>
      <c r="C32" s="709"/>
      <c r="D32" s="712"/>
      <c r="E32" s="715"/>
      <c r="F32" s="715"/>
      <c r="G32" s="434"/>
      <c r="H32" s="715"/>
      <c r="I32" s="434"/>
      <c r="J32" s="277"/>
      <c r="K32" s="271"/>
      <c r="L32" s="277"/>
      <c r="M32" s="271"/>
      <c r="N32" s="277"/>
      <c r="O32" s="271"/>
      <c r="P32" s="277"/>
      <c r="Q32" s="272"/>
      <c r="R32" s="40"/>
      <c r="S32" s="262"/>
      <c r="T32" s="40"/>
    </row>
    <row r="33" spans="1:20" ht="45" thickBot="1">
      <c r="A33" s="167" t="s">
        <v>134</v>
      </c>
      <c r="B33" s="435"/>
      <c r="C33" s="154" t="s">
        <v>67</v>
      </c>
      <c r="D33" s="115">
        <v>200</v>
      </c>
      <c r="E33" s="134" t="s">
        <v>92</v>
      </c>
      <c r="F33" s="95"/>
      <c r="G33" s="435"/>
      <c r="H33" s="93" t="s">
        <v>431</v>
      </c>
      <c r="I33" s="435"/>
      <c r="J33" s="539"/>
      <c r="K33" s="271"/>
      <c r="L33" s="301">
        <f>IF($C33="Per Employee",$L$165*$D33,IF($C33="Per Pupil",$D33*$L$167,IF($C33="Fixed Per Year",$D33,0)))</f>
        <v>18000</v>
      </c>
      <c r="M33" s="271"/>
      <c r="N33" s="301">
        <f>IF($C33="Per Employee",$N$165*$D33,IF($C33="Per Pupil",$D33*$N$167,IF($C33="Fixed Per Year",$D33)))*(1+$F33)^1</f>
        <v>27000</v>
      </c>
      <c r="O33" s="271"/>
      <c r="P33" s="301">
        <f aca="true" t="shared" si="0" ref="P33:P43">IF($C33="Per Employee",$P$165*$D33,IF($C33="Per Pupil",$D33*$P$167,IF($C33="Fixed Per Year",$D33)))*(1+$F33)^2</f>
        <v>36000</v>
      </c>
      <c r="Q33" s="272"/>
      <c r="R33" s="301">
        <f aca="true" t="shared" si="1" ref="R33:R43">IF($C33="Per Employee",$R$165*$D33,IF($C33="Per Pupil",$D33*$R$167,IF($C33="Fixed Per Year",$D33)))*(1+$F33)^3</f>
        <v>36000</v>
      </c>
      <c r="S33" s="262"/>
      <c r="T33" s="301">
        <f aca="true" t="shared" si="2" ref="T33:T43">IF($C33="Per Employee",$T$165*$D33,IF($C33="Per Pupil",$D33*$T$167,IF($C33="Fixed Per Year",$D33)))*(1+$F33)^4</f>
        <v>36000</v>
      </c>
    </row>
    <row r="34" spans="1:20" ht="105" thickBot="1">
      <c r="A34" s="166" t="s">
        <v>135</v>
      </c>
      <c r="B34" s="435"/>
      <c r="C34" s="154" t="s">
        <v>67</v>
      </c>
      <c r="D34" s="115">
        <v>100</v>
      </c>
      <c r="E34" s="134" t="s">
        <v>92</v>
      </c>
      <c r="F34" s="95"/>
      <c r="G34" s="435"/>
      <c r="H34" s="565" t="s">
        <v>494</v>
      </c>
      <c r="I34" s="435"/>
      <c r="J34" s="539"/>
      <c r="K34" s="271"/>
      <c r="L34" s="301">
        <f>IF($C34="Per Employee",$L$165*$D34,IF($C34="Per Pupil",$D34*$L$167,IF($C34="Fixed Per Year",$D34,0)))+750*6+100*6</f>
        <v>14100</v>
      </c>
      <c r="M34" s="271"/>
      <c r="N34" s="301">
        <f>IF($C34="Per Employee",$N$165*$D34,IF($C34="Per Pupil",$D34*$N$167,IF($C34="Fixed Per Year",$D34)))*(1+$F34)^1+750*3+100*9</f>
        <v>16650</v>
      </c>
      <c r="O34" s="271"/>
      <c r="P34" s="301">
        <f>IF($C34="Per Employee",$P$165*$D34,IF($C34="Per Pupil",$D34*$P$167,IF($C34="Fixed Per Year",$D34)))*(1+$F34)^2+750*3+100*12</f>
        <v>21450</v>
      </c>
      <c r="Q34" s="272"/>
      <c r="R34" s="301">
        <f>IF($C34="Per Employee",$R$165*$D34,IF($C34="Per Pupil",$D34*$R$167,IF($C34="Fixed Per Year",$D34)))*(1+$F34)^3+100*12</f>
        <v>19200</v>
      </c>
      <c r="S34" s="262"/>
      <c r="T34" s="301">
        <f>IF($C34="Per Employee",$T$165*$D34,IF($C34="Per Pupil",$D34*$T$167,IF($C34="Fixed Per Year",$D34)))*(1+$F34)^4+100*12</f>
        <v>19200</v>
      </c>
    </row>
    <row r="35" spans="1:20" ht="90" thickBot="1">
      <c r="A35" s="166" t="s">
        <v>103</v>
      </c>
      <c r="B35" s="435"/>
      <c r="C35" s="154" t="s">
        <v>67</v>
      </c>
      <c r="D35" s="115">
        <v>18</v>
      </c>
      <c r="E35" s="134" t="s">
        <v>92</v>
      </c>
      <c r="F35" s="95"/>
      <c r="G35" s="435"/>
      <c r="H35" s="93" t="s">
        <v>436</v>
      </c>
      <c r="I35" s="435"/>
      <c r="J35" s="539"/>
      <c r="K35" s="271"/>
      <c r="L35" s="301">
        <f>IF($C35="Per Employee",$L$165*$D35,IF($C35="Per Pupil",$D35*$L$167,IF($C35="Fixed Per Year",$D35,0)))+1500+1600+25*0.03*90</f>
        <v>4787.5</v>
      </c>
      <c r="M35" s="271"/>
      <c r="N35" s="301">
        <f>IF($C35="Per Employee",$N$165*$D35,IF($C35="Per Pupil",$D35*$N$167,IF($C35="Fixed Per Year",$D35)))*(1+$F35)^1+25*0.03*135</f>
        <v>2531.25</v>
      </c>
      <c r="O35" s="271"/>
      <c r="P35" s="301">
        <f>IF($C35="Per Employee",$P$165*$D35,IF($C35="Per Pupil",$D35*$P$167,IF($C35="Fixed Per Year",$D35)))*(1+$F35)^2+25*0.03*180</f>
        <v>3375</v>
      </c>
      <c r="Q35" s="272"/>
      <c r="R35" s="301">
        <f>IF($C35="Per Employee",$R$165*$D35,IF($C35="Per Pupil",$D35*$R$167,IF($C35="Fixed Per Year",$D35)))*(1+$F35)^3+25*0.03*180</f>
        <v>3375</v>
      </c>
      <c r="S35" s="262"/>
      <c r="T35" s="301">
        <f>IF($C35="Per Employee",$T$165*$D35,IF($C35="Per Pupil",$D35*$T$167,IF($C35="Fixed Per Year",$D35)))*(1+$F35)^4+25*0.03*180</f>
        <v>3375</v>
      </c>
    </row>
    <row r="36" spans="1:20" ht="60" thickBot="1">
      <c r="A36" s="166" t="s">
        <v>5</v>
      </c>
      <c r="B36" s="435"/>
      <c r="C36" s="154" t="s">
        <v>1</v>
      </c>
      <c r="D36" s="115">
        <v>75</v>
      </c>
      <c r="E36" s="134" t="s">
        <v>92</v>
      </c>
      <c r="F36" s="95"/>
      <c r="G36" s="435"/>
      <c r="H36" s="93" t="s">
        <v>493</v>
      </c>
      <c r="I36" s="435"/>
      <c r="J36" s="539">
        <f>75*120</f>
        <v>9000</v>
      </c>
      <c r="K36" s="271"/>
      <c r="L36" s="301">
        <f>75*60</f>
        <v>4500</v>
      </c>
      <c r="M36" s="271"/>
      <c r="N36" s="301">
        <f>75*60</f>
        <v>4500</v>
      </c>
      <c r="O36" s="271"/>
      <c r="P36" s="301">
        <f>75*60</f>
        <v>4500</v>
      </c>
      <c r="Q36" s="272"/>
      <c r="R36" s="301">
        <f>75*60</f>
        <v>4500</v>
      </c>
      <c r="S36" s="262"/>
      <c r="T36" s="301">
        <f>75*60</f>
        <v>4500</v>
      </c>
    </row>
    <row r="37" spans="1:20" ht="45" thickBot="1">
      <c r="A37" s="166" t="s">
        <v>104</v>
      </c>
      <c r="B37" s="435"/>
      <c r="C37" s="154" t="s">
        <v>1</v>
      </c>
      <c r="D37" s="115">
        <v>1500</v>
      </c>
      <c r="E37" s="134" t="s">
        <v>92</v>
      </c>
      <c r="F37" s="95"/>
      <c r="G37" s="435"/>
      <c r="H37" s="565" t="s">
        <v>416</v>
      </c>
      <c r="I37" s="435"/>
      <c r="J37" s="539"/>
      <c r="K37" s="271"/>
      <c r="L37" s="301">
        <f>1500*6+750</f>
        <v>9750</v>
      </c>
      <c r="M37" s="271"/>
      <c r="N37" s="301">
        <f>1500*3</f>
        <v>4500</v>
      </c>
      <c r="O37" s="271"/>
      <c r="P37" s="301">
        <f>1500*3</f>
        <v>4500</v>
      </c>
      <c r="Q37" s="272"/>
      <c r="R37" s="301">
        <f t="shared" si="1"/>
        <v>0</v>
      </c>
      <c r="S37" s="262"/>
      <c r="T37" s="301">
        <f t="shared" si="2"/>
        <v>0</v>
      </c>
    </row>
    <row r="38" spans="1:20" ht="135" thickBot="1">
      <c r="A38" s="166" t="s">
        <v>105</v>
      </c>
      <c r="B38" s="435"/>
      <c r="C38" s="154" t="s">
        <v>1</v>
      </c>
      <c r="D38" s="569" t="s">
        <v>430</v>
      </c>
      <c r="E38" s="134" t="s">
        <v>92</v>
      </c>
      <c r="F38" s="95"/>
      <c r="G38" s="435"/>
      <c r="H38" s="565" t="s">
        <v>483</v>
      </c>
      <c r="I38" s="435"/>
      <c r="J38" s="539">
        <f>200*30</f>
        <v>6000</v>
      </c>
      <c r="K38" s="271"/>
      <c r="L38" s="301">
        <f>900*7</f>
        <v>6300</v>
      </c>
      <c r="M38" s="271"/>
      <c r="N38" s="301">
        <f>200*15+900*3</f>
        <v>5700</v>
      </c>
      <c r="O38" s="271"/>
      <c r="P38" s="301">
        <f>200*15+900*3</f>
        <v>5700</v>
      </c>
      <c r="Q38" s="272"/>
      <c r="R38" s="301">
        <f>200*6+900</f>
        <v>2100</v>
      </c>
      <c r="S38" s="262"/>
      <c r="T38" s="301">
        <f>200*6+900</f>
        <v>2100</v>
      </c>
    </row>
    <row r="39" spans="1:20" ht="75" thickBot="1">
      <c r="A39" s="166" t="s">
        <v>106</v>
      </c>
      <c r="B39" s="435"/>
      <c r="C39" s="154" t="s">
        <v>1</v>
      </c>
      <c r="D39" s="115">
        <v>100</v>
      </c>
      <c r="E39" s="134" t="s">
        <v>92</v>
      </c>
      <c r="F39" s="95"/>
      <c r="G39" s="435"/>
      <c r="H39" s="93" t="s">
        <v>437</v>
      </c>
      <c r="I39" s="435"/>
      <c r="J39" s="539">
        <f>100*90+100*14</f>
        <v>10400</v>
      </c>
      <c r="K39" s="271"/>
      <c r="L39" s="301">
        <f>100*45+100*6</f>
        <v>5100</v>
      </c>
      <c r="M39" s="271"/>
      <c r="N39" s="301">
        <f>100*45+100*6</f>
        <v>5100</v>
      </c>
      <c r="O39" s="271"/>
      <c r="P39" s="301">
        <f t="shared" si="0"/>
        <v>0</v>
      </c>
      <c r="Q39" s="272"/>
      <c r="R39" s="301">
        <f t="shared" si="1"/>
        <v>0</v>
      </c>
      <c r="S39" s="262"/>
      <c r="T39" s="301">
        <f t="shared" si="2"/>
        <v>0</v>
      </c>
    </row>
    <row r="40" spans="1:20" ht="45" thickBot="1">
      <c r="A40" s="166" t="s">
        <v>111</v>
      </c>
      <c r="B40" s="435"/>
      <c r="C40" s="154" t="s">
        <v>94</v>
      </c>
      <c r="D40" s="115">
        <v>4800</v>
      </c>
      <c r="E40" s="134" t="s">
        <v>92</v>
      </c>
      <c r="F40" s="95"/>
      <c r="G40" s="435"/>
      <c r="H40" s="565" t="s">
        <v>438</v>
      </c>
      <c r="I40" s="435"/>
      <c r="J40" s="539"/>
      <c r="K40" s="271"/>
      <c r="L40" s="301">
        <f>IF($C40="Per Employee",$L$165*$D40,IF($C40="Per Pupil",$D40*$L$167,IF($C40="Fixed Per Year",$D40,0)))</f>
        <v>4800</v>
      </c>
      <c r="M40" s="271"/>
      <c r="N40" s="301">
        <f>IF($C40="Per Employee",$N$165*$D40,IF($C40="Per Pupil",$D40*$N$167,IF($C40="Fixed Per Year",$D40)))*(1+$F40)^1</f>
        <v>4800</v>
      </c>
      <c r="O40" s="271"/>
      <c r="P40" s="301">
        <f t="shared" si="0"/>
        <v>4800</v>
      </c>
      <c r="Q40" s="272"/>
      <c r="R40" s="301">
        <f t="shared" si="1"/>
        <v>4800</v>
      </c>
      <c r="S40" s="262"/>
      <c r="T40" s="301">
        <f t="shared" si="2"/>
        <v>4800</v>
      </c>
    </row>
    <row r="41" spans="1:20" ht="30" thickBot="1">
      <c r="A41" s="166" t="s">
        <v>107</v>
      </c>
      <c r="B41" s="435"/>
      <c r="C41" s="154" t="s">
        <v>1</v>
      </c>
      <c r="D41" s="115">
        <v>10000</v>
      </c>
      <c r="E41" s="134" t="s">
        <v>92</v>
      </c>
      <c r="F41" s="95"/>
      <c r="G41" s="435"/>
      <c r="H41" s="94" t="s">
        <v>482</v>
      </c>
      <c r="I41" s="435"/>
      <c r="J41" s="539"/>
      <c r="K41" s="271"/>
      <c r="L41" s="301">
        <f>10000*1</f>
        <v>10000</v>
      </c>
      <c r="M41" s="271"/>
      <c r="N41" s="301">
        <f>10000</f>
        <v>10000</v>
      </c>
      <c r="O41" s="271"/>
      <c r="P41" s="301">
        <f>10000</f>
        <v>10000</v>
      </c>
      <c r="Q41" s="272"/>
      <c r="R41" s="301">
        <f>10000</f>
        <v>10000</v>
      </c>
      <c r="S41" s="262"/>
      <c r="T41" s="301">
        <f>10000</f>
        <v>10000</v>
      </c>
    </row>
    <row r="42" spans="1:20" ht="15" thickBot="1">
      <c r="A42" s="166" t="s">
        <v>136</v>
      </c>
      <c r="B42" s="435"/>
      <c r="C42" s="154" t="s">
        <v>94</v>
      </c>
      <c r="D42" s="115"/>
      <c r="E42" s="134" t="s">
        <v>92</v>
      </c>
      <c r="F42" s="95"/>
      <c r="G42" s="435"/>
      <c r="H42" s="93" t="s">
        <v>92</v>
      </c>
      <c r="I42" s="435"/>
      <c r="J42" s="539"/>
      <c r="K42" s="271"/>
      <c r="L42" s="301">
        <f>IF($C42="Per Employee",$L$165*$D42,IF($C42="Per Pupil",$D42*$L$167,IF($C42="Fixed Per Year",$D42,0)))</f>
        <v>0</v>
      </c>
      <c r="M42" s="271"/>
      <c r="N42" s="301">
        <f>IF($C42="Per Employee",$N$165*$D42,IF($C42="Per Pupil",$D42*$N$167,IF($C42="Fixed Per Year",$D42)))*(1+$F42)^1</f>
        <v>0</v>
      </c>
      <c r="O42" s="271"/>
      <c r="P42" s="301">
        <f t="shared" si="0"/>
        <v>0</v>
      </c>
      <c r="Q42" s="272"/>
      <c r="R42" s="301">
        <f t="shared" si="1"/>
        <v>0</v>
      </c>
      <c r="S42" s="262"/>
      <c r="T42" s="301">
        <f t="shared" si="2"/>
        <v>0</v>
      </c>
    </row>
    <row r="43" spans="1:20" ht="15" thickBot="1">
      <c r="A43" s="166" t="s">
        <v>110</v>
      </c>
      <c r="B43" s="435"/>
      <c r="C43" s="154"/>
      <c r="D43" s="115"/>
      <c r="E43" s="134" t="s">
        <v>92</v>
      </c>
      <c r="F43" s="95"/>
      <c r="G43" s="435"/>
      <c r="H43" s="93" t="s">
        <v>92</v>
      </c>
      <c r="I43" s="435"/>
      <c r="J43" s="539"/>
      <c r="K43" s="271"/>
      <c r="L43" s="301">
        <f>IF($C43="Per Employee",$L$165*$D43,IF($C43="Per Pupil",$D43*$L$167,IF($C43="Fixed Per Year",$D43,0)))</f>
        <v>0</v>
      </c>
      <c r="M43" s="271"/>
      <c r="N43" s="301">
        <f>IF($C43="Per Employee",$N$165*$D43,IF($C43="Per Pupil",$D43*$N$167,IF($C43="Fixed Per Year",$D43)))*(1+$F43)^1</f>
        <v>0</v>
      </c>
      <c r="O43" s="271"/>
      <c r="P43" s="301">
        <f t="shared" si="0"/>
        <v>0</v>
      </c>
      <c r="Q43" s="272"/>
      <c r="R43" s="301">
        <f t="shared" si="1"/>
        <v>0</v>
      </c>
      <c r="S43" s="262"/>
      <c r="T43" s="301">
        <f t="shared" si="2"/>
        <v>0</v>
      </c>
    </row>
    <row r="44" spans="1:20" ht="34.5" customHeight="1" hidden="1" thickBot="1">
      <c r="A44" s="168" t="s">
        <v>210</v>
      </c>
      <c r="B44" s="435"/>
      <c r="C44" s="466" t="s">
        <v>92</v>
      </c>
      <c r="D44" s="467" t="s">
        <v>92</v>
      </c>
      <c r="E44" s="134" t="s">
        <v>92</v>
      </c>
      <c r="F44" s="468" t="s">
        <v>92</v>
      </c>
      <c r="G44" s="435"/>
      <c r="H44" s="93"/>
      <c r="I44" s="435"/>
      <c r="J44" s="540">
        <v>0</v>
      </c>
      <c r="K44" s="271"/>
      <c r="L44" s="84">
        <f>'Contractual Clinicians'!C31</f>
        <v>0</v>
      </c>
      <c r="M44" s="271"/>
      <c r="N44" s="84">
        <f>'Contractual Clinicians'!D31</f>
        <v>0</v>
      </c>
      <c r="O44" s="271"/>
      <c r="P44" s="84">
        <f>'Contractual Clinicians'!E31</f>
        <v>0</v>
      </c>
      <c r="Q44" s="272"/>
      <c r="R44" s="84">
        <f>'Contractual Clinicians'!F31</f>
        <v>0</v>
      </c>
      <c r="S44" s="262"/>
      <c r="T44" s="84">
        <f>'Contractual Clinicians'!G31</f>
        <v>0</v>
      </c>
    </row>
    <row r="45" spans="1:20" ht="60" thickBot="1">
      <c r="A45" s="168" t="s">
        <v>48</v>
      </c>
      <c r="B45" s="435"/>
      <c r="C45" s="154" t="s">
        <v>1</v>
      </c>
      <c r="D45" s="577" t="s">
        <v>453</v>
      </c>
      <c r="E45" s="134" t="s">
        <v>92</v>
      </c>
      <c r="F45" s="95"/>
      <c r="G45" s="435"/>
      <c r="H45" s="93" t="s">
        <v>454</v>
      </c>
      <c r="I45" s="435"/>
      <c r="J45" s="539"/>
      <c r="K45" s="271"/>
      <c r="L45" s="301">
        <f>2000*90*0.15</f>
        <v>27000</v>
      </c>
      <c r="M45" s="271"/>
      <c r="N45" s="301">
        <f>2000*135*0.15</f>
        <v>40500</v>
      </c>
      <c r="O45" s="271"/>
      <c r="P45" s="301">
        <f>2000*180*0.15</f>
        <v>54000</v>
      </c>
      <c r="Q45" s="272"/>
      <c r="R45" s="301">
        <f>2000*180*0.15</f>
        <v>54000</v>
      </c>
      <c r="S45" s="262"/>
      <c r="T45" s="301">
        <f>2000*180*0.15</f>
        <v>54000</v>
      </c>
    </row>
    <row r="46" spans="1:20" ht="15" thickBot="1">
      <c r="A46" s="166" t="s">
        <v>190</v>
      </c>
      <c r="B46" s="435"/>
      <c r="C46" s="154" t="s">
        <v>1</v>
      </c>
      <c r="D46" s="116">
        <v>0</v>
      </c>
      <c r="E46" s="134" t="s">
        <v>92</v>
      </c>
      <c r="F46" s="95"/>
      <c r="G46" s="435"/>
      <c r="H46" s="93" t="s">
        <v>406</v>
      </c>
      <c r="I46" s="435"/>
      <c r="J46" s="539"/>
      <c r="K46" s="271"/>
      <c r="L46" s="301">
        <f aca="true" t="shared" si="3" ref="L46:L55">IF($C46="Per Employee",$L$165*$D46,IF($C46="Per Pupil",$D46*$L$167,IF($C46="Fixed Per Year",$D46,0)))</f>
        <v>0</v>
      </c>
      <c r="M46" s="271"/>
      <c r="N46" s="301">
        <f aca="true" t="shared" si="4" ref="N46:N55">IF($C46="Per Employee",$N$165*$D46,IF($C46="Per Pupil",$D46*$N$167,IF($C46="Fixed Per Year",$D46)))*(1+$F46)^1</f>
        <v>0</v>
      </c>
      <c r="O46" s="271"/>
      <c r="P46" s="301">
        <f aca="true" t="shared" si="5" ref="P46:P55">IF($C46="Per Employee",$P$165*$D46,IF($C46="Per Pupil",$D46*$P$167,IF($C46="Fixed Per Year",$D46)))*(1+$F46)^2</f>
        <v>0</v>
      </c>
      <c r="Q46" s="272"/>
      <c r="R46" s="301">
        <f aca="true" t="shared" si="6" ref="R46:R55">IF($C46="Per Employee",$R$165*$D46,IF($C46="Per Pupil",$D46*$R$167,IF($C46="Fixed Per Year",$D46)))*(1+$F46)^3</f>
        <v>0</v>
      </c>
      <c r="S46" s="262"/>
      <c r="T46" s="301">
        <f aca="true" t="shared" si="7" ref="T46:T55">IF($C46="Per Employee",$T$165*$D46,IF($C46="Per Pupil",$D46*$T$167,IF($C46="Fixed Per Year",$D46)))*(1+$F46)^4</f>
        <v>0</v>
      </c>
    </row>
    <row r="47" spans="1:20" ht="30" thickBot="1">
      <c r="A47" s="384" t="s">
        <v>297</v>
      </c>
      <c r="B47" s="435"/>
      <c r="C47" s="154" t="s">
        <v>1</v>
      </c>
      <c r="D47" s="116">
        <v>0</v>
      </c>
      <c r="E47" s="134" t="s">
        <v>92</v>
      </c>
      <c r="F47" s="95"/>
      <c r="G47" s="435"/>
      <c r="H47" s="565" t="s">
        <v>496</v>
      </c>
      <c r="I47" s="435"/>
      <c r="J47" s="539"/>
      <c r="K47" s="271"/>
      <c r="L47" s="301"/>
      <c r="M47" s="271"/>
      <c r="N47" s="301"/>
      <c r="O47" s="271"/>
      <c r="P47" s="301"/>
      <c r="Q47" s="272"/>
      <c r="R47" s="301"/>
      <c r="S47" s="262"/>
      <c r="T47" s="301"/>
    </row>
    <row r="48" spans="1:20" ht="60" thickBot="1">
      <c r="A48" s="70" t="s">
        <v>439</v>
      </c>
      <c r="B48" s="435"/>
      <c r="C48" s="154" t="s">
        <v>1</v>
      </c>
      <c r="D48" s="116">
        <v>50</v>
      </c>
      <c r="E48" s="134" t="s">
        <v>92</v>
      </c>
      <c r="F48" s="95"/>
      <c r="G48" s="435"/>
      <c r="H48" s="93" t="s">
        <v>456</v>
      </c>
      <c r="I48" s="435"/>
      <c r="J48" s="539"/>
      <c r="K48" s="271"/>
      <c r="L48" s="301">
        <f>50*120*0.2</f>
        <v>1200</v>
      </c>
      <c r="M48" s="271"/>
      <c r="N48" s="301">
        <f>50*180*0.2</f>
        <v>1800</v>
      </c>
      <c r="O48" s="271"/>
      <c r="P48" s="301">
        <f>50*240*0.2</f>
        <v>2400</v>
      </c>
      <c r="Q48" s="272"/>
      <c r="R48" s="301">
        <f>50*240*0.2</f>
        <v>2400</v>
      </c>
      <c r="S48" s="262"/>
      <c r="T48" s="301">
        <f>50*240*0.2</f>
        <v>2400</v>
      </c>
    </row>
    <row r="49" spans="1:20" ht="30" thickBot="1">
      <c r="A49" s="70" t="s">
        <v>396</v>
      </c>
      <c r="B49" s="435"/>
      <c r="C49" s="154" t="s">
        <v>67</v>
      </c>
      <c r="D49" s="116">
        <v>25</v>
      </c>
      <c r="E49" s="134" t="s">
        <v>92</v>
      </c>
      <c r="F49" s="95"/>
      <c r="G49" s="435"/>
      <c r="H49" s="93" t="s">
        <v>410</v>
      </c>
      <c r="I49" s="435"/>
      <c r="J49" s="539"/>
      <c r="K49" s="271"/>
      <c r="L49" s="301">
        <f>25*120/3</f>
        <v>1000</v>
      </c>
      <c r="M49" s="271"/>
      <c r="N49" s="301">
        <f>IF($C49="Per Employee",$N$165*$D49,IF($C49="Per Pupil",$D49*$N$167,IF($C49="Fixed Per Year",$D49)))*(1+$F49)^1/3</f>
        <v>1125</v>
      </c>
      <c r="O49" s="271"/>
      <c r="P49" s="301">
        <f>IF($C49="Per Employee",$P$165*$D49,IF($C49="Per Pupil",$D49*$P$167,IF($C49="Fixed Per Year",$D49)))*(1+$F49)^2/3</f>
        <v>1500</v>
      </c>
      <c r="Q49" s="272"/>
      <c r="R49" s="301">
        <f>IF($C49="Per Employee",$R$165*$D49,IF($C49="Per Pupil",$D49*$R$167,IF($C49="Fixed Per Year",$D49)))*(1+$F49)^3/3</f>
        <v>1500</v>
      </c>
      <c r="S49" s="262"/>
      <c r="T49" s="301">
        <f>IF($C49="Per Employee",$T$165*$D49,IF($C49="Per Pupil",$D49*$T$167,IF($C49="Fixed Per Year",$D49)))*(1+$F49)^4/3</f>
        <v>1500</v>
      </c>
    </row>
    <row r="50" spans="1:20" ht="30" thickBot="1">
      <c r="A50" s="70" t="s">
        <v>397</v>
      </c>
      <c r="B50" s="435"/>
      <c r="C50" s="154" t="s">
        <v>67</v>
      </c>
      <c r="D50" s="116">
        <v>10</v>
      </c>
      <c r="E50" s="134" t="s">
        <v>92</v>
      </c>
      <c r="F50" s="95"/>
      <c r="G50" s="435"/>
      <c r="H50" s="565" t="s">
        <v>481</v>
      </c>
      <c r="I50" s="435"/>
      <c r="J50" s="539"/>
      <c r="K50" s="271"/>
      <c r="L50" s="301">
        <f t="shared" si="3"/>
        <v>900</v>
      </c>
      <c r="M50" s="271"/>
      <c r="N50" s="301">
        <f t="shared" si="4"/>
        <v>1350</v>
      </c>
      <c r="O50" s="271"/>
      <c r="P50" s="301">
        <f t="shared" si="5"/>
        <v>1800</v>
      </c>
      <c r="Q50" s="272"/>
      <c r="R50" s="301">
        <f t="shared" si="6"/>
        <v>1800</v>
      </c>
      <c r="S50" s="262"/>
      <c r="T50" s="301">
        <f t="shared" si="7"/>
        <v>1800</v>
      </c>
    </row>
    <row r="51" spans="1:20" ht="30" thickBot="1">
      <c r="A51" s="70" t="s">
        <v>402</v>
      </c>
      <c r="B51" s="435"/>
      <c r="C51" s="154" t="s">
        <v>94</v>
      </c>
      <c r="D51" s="116">
        <v>500</v>
      </c>
      <c r="E51" s="134" t="s">
        <v>92</v>
      </c>
      <c r="F51" s="95"/>
      <c r="G51" s="435"/>
      <c r="H51" s="93" t="s">
        <v>411</v>
      </c>
      <c r="I51" s="435"/>
      <c r="J51" s="539"/>
      <c r="K51" s="271"/>
      <c r="L51" s="301">
        <f t="shared" si="3"/>
        <v>500</v>
      </c>
      <c r="M51" s="271"/>
      <c r="N51" s="301">
        <f t="shared" si="4"/>
        <v>500</v>
      </c>
      <c r="O51" s="271"/>
      <c r="P51" s="301">
        <f t="shared" si="5"/>
        <v>500</v>
      </c>
      <c r="Q51" s="272"/>
      <c r="R51" s="301">
        <f t="shared" si="6"/>
        <v>500</v>
      </c>
      <c r="S51" s="262"/>
      <c r="T51" s="301">
        <f t="shared" si="7"/>
        <v>500</v>
      </c>
    </row>
    <row r="52" spans="1:20" ht="15" thickBot="1">
      <c r="A52" s="70" t="s">
        <v>403</v>
      </c>
      <c r="B52" s="435"/>
      <c r="C52" s="154" t="s">
        <v>94</v>
      </c>
      <c r="D52" s="116">
        <v>500</v>
      </c>
      <c r="E52" s="134" t="s">
        <v>92</v>
      </c>
      <c r="F52" s="95"/>
      <c r="G52" s="435"/>
      <c r="H52" s="93" t="s">
        <v>480</v>
      </c>
      <c r="I52" s="435"/>
      <c r="J52" s="539"/>
      <c r="K52" s="271"/>
      <c r="L52" s="301">
        <f t="shared" si="3"/>
        <v>500</v>
      </c>
      <c r="M52" s="271"/>
      <c r="N52" s="301">
        <f t="shared" si="4"/>
        <v>500</v>
      </c>
      <c r="O52" s="271"/>
      <c r="P52" s="301">
        <f t="shared" si="5"/>
        <v>500</v>
      </c>
      <c r="Q52" s="272"/>
      <c r="R52" s="301">
        <f t="shared" si="6"/>
        <v>500</v>
      </c>
      <c r="S52" s="262"/>
      <c r="T52" s="301">
        <f t="shared" si="7"/>
        <v>500</v>
      </c>
    </row>
    <row r="53" spans="1:20" ht="45" thickBot="1">
      <c r="A53" s="70" t="s">
        <v>404</v>
      </c>
      <c r="B53" s="435"/>
      <c r="C53" s="154" t="s">
        <v>67</v>
      </c>
      <c r="D53" s="116">
        <v>12.5</v>
      </c>
      <c r="E53" s="134" t="s">
        <v>92</v>
      </c>
      <c r="F53" s="95"/>
      <c r="G53" s="435"/>
      <c r="H53" s="93" t="s">
        <v>405</v>
      </c>
      <c r="I53" s="435"/>
      <c r="J53" s="539"/>
      <c r="K53" s="271"/>
      <c r="L53" s="301">
        <f t="shared" si="3"/>
        <v>1125</v>
      </c>
      <c r="M53" s="271"/>
      <c r="N53" s="301">
        <f t="shared" si="4"/>
        <v>1687.5</v>
      </c>
      <c r="O53" s="271"/>
      <c r="P53" s="301">
        <f t="shared" si="5"/>
        <v>2250</v>
      </c>
      <c r="Q53" s="272"/>
      <c r="R53" s="301">
        <f t="shared" si="6"/>
        <v>2250</v>
      </c>
      <c r="S53" s="262"/>
      <c r="T53" s="301">
        <f t="shared" si="7"/>
        <v>2250</v>
      </c>
    </row>
    <row r="54" spans="1:20" ht="30" thickBot="1">
      <c r="A54" s="70" t="s">
        <v>408</v>
      </c>
      <c r="B54" s="435"/>
      <c r="C54" s="154" t="s">
        <v>94</v>
      </c>
      <c r="D54" s="116">
        <v>10000</v>
      </c>
      <c r="E54" s="134" t="s">
        <v>92</v>
      </c>
      <c r="F54" s="95"/>
      <c r="G54" s="435"/>
      <c r="H54" s="565" t="s">
        <v>440</v>
      </c>
      <c r="I54" s="435"/>
      <c r="J54" s="539"/>
      <c r="K54" s="271"/>
      <c r="L54" s="301">
        <f t="shared" si="3"/>
        <v>10000</v>
      </c>
      <c r="M54" s="271"/>
      <c r="N54" s="301">
        <f t="shared" si="4"/>
        <v>10000</v>
      </c>
      <c r="O54" s="271"/>
      <c r="P54" s="301">
        <f t="shared" si="5"/>
        <v>10000</v>
      </c>
      <c r="Q54" s="272"/>
      <c r="R54" s="301">
        <f t="shared" si="6"/>
        <v>10000</v>
      </c>
      <c r="S54" s="262"/>
      <c r="T54" s="301">
        <f t="shared" si="7"/>
        <v>10000</v>
      </c>
    </row>
    <row r="55" spans="1:20" ht="30" thickBot="1">
      <c r="A55" s="576" t="s">
        <v>451</v>
      </c>
      <c r="B55" s="435"/>
      <c r="C55" s="154" t="s">
        <v>94</v>
      </c>
      <c r="D55" s="116">
        <v>1000</v>
      </c>
      <c r="E55" s="134" t="s">
        <v>92</v>
      </c>
      <c r="F55" s="95"/>
      <c r="G55" s="435"/>
      <c r="H55" s="93" t="s">
        <v>452</v>
      </c>
      <c r="I55" s="435"/>
      <c r="J55" s="539"/>
      <c r="K55" s="271"/>
      <c r="L55" s="301">
        <f t="shared" si="3"/>
        <v>1000</v>
      </c>
      <c r="M55" s="271"/>
      <c r="N55" s="301">
        <f t="shared" si="4"/>
        <v>1000</v>
      </c>
      <c r="O55" s="271"/>
      <c r="P55" s="301">
        <f t="shared" si="5"/>
        <v>1000</v>
      </c>
      <c r="Q55" s="272"/>
      <c r="R55" s="301">
        <f t="shared" si="6"/>
        <v>1000</v>
      </c>
      <c r="S55" s="262"/>
      <c r="T55" s="301">
        <f t="shared" si="7"/>
        <v>1000</v>
      </c>
    </row>
    <row r="56" spans="1:20" ht="15" thickBot="1">
      <c r="A56" s="436"/>
      <c r="B56" s="435"/>
      <c r="C56" s="437"/>
      <c r="D56" s="437"/>
      <c r="E56" s="437"/>
      <c r="F56" s="437"/>
      <c r="G56" s="435"/>
      <c r="H56" s="431"/>
      <c r="I56" s="435"/>
      <c r="J56" s="278"/>
      <c r="K56" s="271"/>
      <c r="L56" s="278"/>
      <c r="M56" s="271"/>
      <c r="N56" s="278"/>
      <c r="O56" s="271"/>
      <c r="P56" s="278"/>
      <c r="Q56" s="272"/>
      <c r="R56" s="254"/>
      <c r="S56" s="262"/>
      <c r="T56" s="254"/>
    </row>
    <row r="57" spans="2:20" ht="15" thickBot="1">
      <c r="B57" s="434"/>
      <c r="C57" s="438"/>
      <c r="D57" s="438"/>
      <c r="E57" s="438"/>
      <c r="F57" s="438"/>
      <c r="G57" s="434"/>
      <c r="H57" s="103" t="s">
        <v>58</v>
      </c>
      <c r="I57" s="434"/>
      <c r="J57" s="132">
        <f>SUM(J33:J55)</f>
        <v>25400</v>
      </c>
      <c r="K57" s="98"/>
      <c r="L57" s="132">
        <f>SUM(L33:L55)</f>
        <v>120562.5</v>
      </c>
      <c r="M57" s="98"/>
      <c r="N57" s="132">
        <f>SUM(N33:N55)</f>
        <v>139243.75</v>
      </c>
      <c r="O57" s="98"/>
      <c r="P57" s="132">
        <f>SUM(P33:P55)</f>
        <v>164275</v>
      </c>
      <c r="Q57" s="99"/>
      <c r="R57" s="132">
        <f>SUM(R33:R55)</f>
        <v>153925</v>
      </c>
      <c r="S57" s="247"/>
      <c r="T57" s="132">
        <f>SUM(T33:T55)</f>
        <v>153925</v>
      </c>
    </row>
    <row r="58" spans="1:20" ht="15">
      <c r="A58" s="439"/>
      <c r="B58" s="440"/>
      <c r="C58" s="441"/>
      <c r="D58" s="441"/>
      <c r="E58" s="441"/>
      <c r="F58" s="441"/>
      <c r="G58" s="440"/>
      <c r="H58" s="431"/>
      <c r="I58" s="440"/>
      <c r="J58" s="277"/>
      <c r="K58" s="271"/>
      <c r="L58" s="277"/>
      <c r="M58" s="271"/>
      <c r="N58" s="277"/>
      <c r="O58" s="271"/>
      <c r="P58" s="277"/>
      <c r="Q58" s="272"/>
      <c r="R58" s="40"/>
      <c r="S58" s="262"/>
      <c r="T58" s="40"/>
    </row>
    <row r="59" spans="1:20" ht="15">
      <c r="A59" s="439"/>
      <c r="B59" s="440"/>
      <c r="C59" s="441"/>
      <c r="D59" s="441"/>
      <c r="E59" s="441"/>
      <c r="F59" s="441"/>
      <c r="G59" s="440"/>
      <c r="H59" s="431"/>
      <c r="I59" s="440"/>
      <c r="J59" s="277"/>
      <c r="K59" s="271"/>
      <c r="L59" s="277"/>
      <c r="M59" s="271"/>
      <c r="N59" s="277"/>
      <c r="O59" s="271"/>
      <c r="P59" s="277"/>
      <c r="Q59" s="272"/>
      <c r="R59" s="40"/>
      <c r="S59" s="262"/>
      <c r="T59" s="40"/>
    </row>
    <row r="60" spans="1:20" ht="15" thickBot="1">
      <c r="A60" s="439"/>
      <c r="B60" s="440"/>
      <c r="C60" s="441"/>
      <c r="D60" s="441"/>
      <c r="E60" s="441"/>
      <c r="F60" s="441"/>
      <c r="G60" s="440"/>
      <c r="H60" s="431"/>
      <c r="I60" s="440"/>
      <c r="J60" s="277"/>
      <c r="K60" s="271"/>
      <c r="L60" s="277"/>
      <c r="M60" s="271"/>
      <c r="N60" s="277"/>
      <c r="O60" s="271"/>
      <c r="P60" s="277"/>
      <c r="Q60" s="272"/>
      <c r="R60" s="40"/>
      <c r="S60" s="262"/>
      <c r="T60" s="40"/>
    </row>
    <row r="61" spans="1:20" ht="18" thickBot="1">
      <c r="A61" s="160" t="s">
        <v>61</v>
      </c>
      <c r="B61" s="434"/>
      <c r="C61" s="438"/>
      <c r="D61" s="438"/>
      <c r="E61" s="438"/>
      <c r="F61" s="438"/>
      <c r="G61" s="434"/>
      <c r="H61" s="431"/>
      <c r="I61" s="434"/>
      <c r="J61" s="277"/>
      <c r="K61" s="271"/>
      <c r="L61" s="277"/>
      <c r="M61" s="271"/>
      <c r="N61" s="277"/>
      <c r="O61" s="275"/>
      <c r="P61" s="277"/>
      <c r="Q61" s="272"/>
      <c r="R61" s="40"/>
      <c r="S61" s="262"/>
      <c r="T61" s="40"/>
    </row>
    <row r="62" spans="1:20" ht="195" thickBot="1">
      <c r="A62" s="169" t="s">
        <v>6</v>
      </c>
      <c r="B62" s="442"/>
      <c r="C62" s="135" t="s">
        <v>92</v>
      </c>
      <c r="D62" s="136" t="s">
        <v>92</v>
      </c>
      <c r="E62" s="136" t="s">
        <v>92</v>
      </c>
      <c r="F62" s="136" t="s">
        <v>92</v>
      </c>
      <c r="G62" s="442"/>
      <c r="H62" s="566" t="s">
        <v>495</v>
      </c>
      <c r="I62" s="442"/>
      <c r="J62" s="84">
        <f>'Salaries - Year 0'!D26</f>
        <v>82500</v>
      </c>
      <c r="K62" s="271"/>
      <c r="L62" s="84">
        <f>'Salaries - Year 1'!B62</f>
        <v>487500</v>
      </c>
      <c r="M62" s="275"/>
      <c r="N62" s="84">
        <f>'Salaries - Year 2'!B62</f>
        <v>786140</v>
      </c>
      <c r="O62" s="275"/>
      <c r="P62" s="84">
        <f>'Salaries - Year 3'!B62</f>
        <v>1090014</v>
      </c>
      <c r="Q62" s="272"/>
      <c r="R62" s="84">
        <f>'Salaries - Year 4'!B62</f>
        <v>1111814.28</v>
      </c>
      <c r="S62" s="262"/>
      <c r="T62" s="84">
        <f>'Salaries - Year 5'!B62</f>
        <v>1134050.5656</v>
      </c>
    </row>
    <row r="63" spans="1:20" ht="15" thickBot="1">
      <c r="A63" s="171" t="s">
        <v>130</v>
      </c>
      <c r="B63" s="442"/>
      <c r="C63" s="135" t="s">
        <v>92</v>
      </c>
      <c r="D63" s="136" t="s">
        <v>92</v>
      </c>
      <c r="E63" s="136" t="s">
        <v>92</v>
      </c>
      <c r="F63" s="136" t="s">
        <v>92</v>
      </c>
      <c r="G63" s="442"/>
      <c r="H63" s="94" t="s">
        <v>457</v>
      </c>
      <c r="I63" s="442"/>
      <c r="J63" s="84">
        <v>0</v>
      </c>
      <c r="K63" s="271"/>
      <c r="L63" s="84">
        <f>'Salaries - Year 1'!F28</f>
        <v>38892.600000000006</v>
      </c>
      <c r="M63" s="275"/>
      <c r="N63" s="84">
        <f>'Salaries - Year 2'!F28</f>
        <v>65763.648</v>
      </c>
      <c r="O63" s="275"/>
      <c r="P63" s="84">
        <f>'Salaries - Year 3'!F28</f>
        <v>98503.82927999999</v>
      </c>
      <c r="Q63" s="272"/>
      <c r="R63" s="84">
        <f>'Salaries - Year 4'!F28</f>
        <v>100473.9058656</v>
      </c>
      <c r="S63" s="262"/>
      <c r="T63" s="84">
        <f>'Salaries - Year 5'!F28</f>
        <v>102483.38398291201</v>
      </c>
    </row>
    <row r="64" spans="1:20" ht="15" thickBot="1">
      <c r="A64" s="170" t="s">
        <v>131</v>
      </c>
      <c r="B64" s="442"/>
      <c r="C64" s="135" t="s">
        <v>92</v>
      </c>
      <c r="D64" s="136" t="s">
        <v>92</v>
      </c>
      <c r="E64" s="136" t="s">
        <v>92</v>
      </c>
      <c r="F64" s="136" t="s">
        <v>92</v>
      </c>
      <c r="G64" s="442"/>
      <c r="H64" s="566" t="s">
        <v>479</v>
      </c>
      <c r="I64" s="575"/>
      <c r="J64" s="541">
        <v>0</v>
      </c>
      <c r="K64" s="275"/>
      <c r="L64" s="541">
        <f>'Salaries - Year 1'!E28</f>
        <v>0</v>
      </c>
      <c r="M64" s="275"/>
      <c r="N64" s="541">
        <f>'Salaries - Year 2'!E28</f>
        <v>0</v>
      </c>
      <c r="O64" s="275"/>
      <c r="P64" s="541">
        <f>'Salaries - Year 3'!E28</f>
        <v>0</v>
      </c>
      <c r="Q64" s="272"/>
      <c r="R64" s="541">
        <f>'Salaries - Year 4'!E28</f>
        <v>0</v>
      </c>
      <c r="S64" s="262"/>
      <c r="T64" s="541">
        <f>'Salaries - Year 5'!E28</f>
        <v>0</v>
      </c>
    </row>
    <row r="65" spans="1:20" ht="30" thickBot="1">
      <c r="A65" s="122" t="s">
        <v>50</v>
      </c>
      <c r="B65" s="442"/>
      <c r="C65" s="135" t="s">
        <v>92</v>
      </c>
      <c r="D65" s="136" t="s">
        <v>92</v>
      </c>
      <c r="E65" s="136" t="s">
        <v>92</v>
      </c>
      <c r="F65" s="136" t="s">
        <v>92</v>
      </c>
      <c r="G65" s="442"/>
      <c r="H65" s="566" t="s">
        <v>441</v>
      </c>
      <c r="I65" s="575"/>
      <c r="J65" s="541">
        <f>'Salaries - Year 0'!D26*0.03</f>
        <v>2475</v>
      </c>
      <c r="K65" s="275"/>
      <c r="L65" s="541">
        <f>'Salaries - Year 1'!D57*0.03</f>
        <v>4170</v>
      </c>
      <c r="M65" s="275"/>
      <c r="N65" s="541">
        <f>'Salaries - Year 2'!D57*0.03</f>
        <v>5905.8</v>
      </c>
      <c r="O65" s="275"/>
      <c r="P65" s="541">
        <f>'Salaries - Year 3'!D57*0.03</f>
        <v>6220.896</v>
      </c>
      <c r="Q65" s="272"/>
      <c r="R65" s="541">
        <f>'Salaries - Year 4'!D57*0.03</f>
        <v>6345.313919999999</v>
      </c>
      <c r="S65" s="262"/>
      <c r="T65" s="541">
        <f>'Salaries - Year 5'!D57*0.03</f>
        <v>6472.220198399999</v>
      </c>
    </row>
    <row r="66" spans="1:20" ht="15" thickBot="1">
      <c r="A66" s="121" t="s">
        <v>51</v>
      </c>
      <c r="B66" s="442"/>
      <c r="C66" s="135" t="s">
        <v>92</v>
      </c>
      <c r="D66" s="136" t="s">
        <v>92</v>
      </c>
      <c r="E66" s="136" t="s">
        <v>92</v>
      </c>
      <c r="F66" s="136" t="s">
        <v>92</v>
      </c>
      <c r="G66" s="442"/>
      <c r="H66" s="94" t="s">
        <v>443</v>
      </c>
      <c r="I66" s="442"/>
      <c r="J66" s="84">
        <f>'Salaries - Year 0'!D26*0.062</f>
        <v>5115</v>
      </c>
      <c r="K66" s="271"/>
      <c r="L66" s="84">
        <f>'Salaries - Year 1'!E57</f>
        <v>8618</v>
      </c>
      <c r="M66" s="275"/>
      <c r="N66" s="84">
        <f>'Salaries - Year 2'!E57</f>
        <v>12205.320000000002</v>
      </c>
      <c r="O66" s="275"/>
      <c r="P66" s="84">
        <f>'Salaries - Year 3'!E57</f>
        <v>12856.5184</v>
      </c>
      <c r="Q66" s="272"/>
      <c r="R66" s="84">
        <f>'Salaries - Year 4'!E57</f>
        <v>13113.648768000001</v>
      </c>
      <c r="S66" s="262"/>
      <c r="T66" s="84">
        <f>'Salaries - Year 5'!E57</f>
        <v>13375.921743359999</v>
      </c>
    </row>
    <row r="67" spans="1:20" ht="15" thickBot="1">
      <c r="A67" s="166" t="s">
        <v>52</v>
      </c>
      <c r="B67" s="442"/>
      <c r="C67" s="135" t="s">
        <v>92</v>
      </c>
      <c r="D67" s="136" t="s">
        <v>92</v>
      </c>
      <c r="E67" s="136" t="s">
        <v>92</v>
      </c>
      <c r="F67" s="136" t="s">
        <v>92</v>
      </c>
      <c r="G67" s="442"/>
      <c r="H67" s="94" t="s">
        <v>458</v>
      </c>
      <c r="I67" s="442"/>
      <c r="J67" s="84">
        <f>'Salaries - Year 0'!D29</f>
        <v>1196.25</v>
      </c>
      <c r="K67" s="271"/>
      <c r="L67" s="84">
        <f>'Salaries - Year 1'!B68</f>
        <v>7068.75</v>
      </c>
      <c r="M67" s="275"/>
      <c r="N67" s="84">
        <f>'Salaries - Year 2'!B68</f>
        <v>11399.030000000002</v>
      </c>
      <c r="O67" s="275"/>
      <c r="P67" s="84">
        <f>'Salaries - Year 3'!B68</f>
        <v>15805.203000000001</v>
      </c>
      <c r="Q67" s="272"/>
      <c r="R67" s="84">
        <f>'Salaries - Year 4'!B68</f>
        <v>16121.30706</v>
      </c>
      <c r="S67" s="262"/>
      <c r="T67" s="84">
        <f>'Salaries - Year 5'!B68</f>
        <v>16443.7332012</v>
      </c>
    </row>
    <row r="68" spans="1:20" ht="30" thickBot="1">
      <c r="A68" s="170" t="s">
        <v>49</v>
      </c>
      <c r="B68" s="442"/>
      <c r="C68" s="155" t="s">
        <v>66</v>
      </c>
      <c r="D68" s="92"/>
      <c r="E68" s="95">
        <v>0.087</v>
      </c>
      <c r="F68" s="228"/>
      <c r="G68" s="442"/>
      <c r="H68" s="566" t="s">
        <v>444</v>
      </c>
      <c r="I68" s="442"/>
      <c r="J68" s="301">
        <f>0.087*82500</f>
        <v>7177.499999999999</v>
      </c>
      <c r="K68" s="271"/>
      <c r="L68" s="301">
        <f aca="true" t="shared" si="8" ref="L68:L74">IF($C68="Per Employee",$L$165*$D68,IF($C68="% of Salaries",$E68*$L$166,IF($C68="Fixed Per Year",$D68,0)))</f>
        <v>42412.5</v>
      </c>
      <c r="M68" s="275"/>
      <c r="N68" s="301">
        <f aca="true" t="shared" si="9" ref="N68:N74">IF($C68="Per Employee",$N$165*$D68,IF($C68="% of Salaries",$E68*$N$166,IF($C68="Fixed Per Year",$D68)))*(1+$F68)^1</f>
        <v>68394.18</v>
      </c>
      <c r="O68" s="275"/>
      <c r="P68" s="301">
        <f aca="true" t="shared" si="10" ref="P68:P74">IF($C68="Per Employee",$P$165*$D68,IF($C68="% of Salaries",$E68*$P$166,IF($C68="Fixed Per Year",$D68)))*(1+$F68)^2</f>
        <v>94831.218</v>
      </c>
      <c r="Q68" s="272"/>
      <c r="R68" s="301">
        <f aca="true" t="shared" si="11" ref="R68:R74">IF($C68="Per Employee",$R$165*$D68,IF($C68="% of Salaries",$E68*$R$166,IF($C68="Fixed Per Year",$D68)))*(1+$F68)^3</f>
        <v>96727.84236</v>
      </c>
      <c r="S68" s="262"/>
      <c r="T68" s="301">
        <f aca="true" t="shared" si="12" ref="T68:T74">IF($C68="Per Employee",$T$165*$D68,IF($C68="% of Salaries",$E68*$T$166,IF($C68="Fixed Per Year",$D68)))*(1+$F68)^4</f>
        <v>98662.3992072</v>
      </c>
    </row>
    <row r="69" spans="1:20" ht="15" thickBot="1">
      <c r="A69" s="121" t="s">
        <v>53</v>
      </c>
      <c r="B69" s="442"/>
      <c r="C69" s="155" t="s">
        <v>66</v>
      </c>
      <c r="D69" s="92"/>
      <c r="E69" s="95"/>
      <c r="F69" s="228"/>
      <c r="G69" s="442"/>
      <c r="H69" s="566" t="s">
        <v>442</v>
      </c>
      <c r="I69" s="442"/>
      <c r="J69" s="301"/>
      <c r="K69" s="271"/>
      <c r="L69" s="301">
        <f t="shared" si="8"/>
        <v>0</v>
      </c>
      <c r="M69" s="271"/>
      <c r="N69" s="301">
        <f t="shared" si="9"/>
        <v>0</v>
      </c>
      <c r="O69" s="275"/>
      <c r="P69" s="301">
        <f t="shared" si="10"/>
        <v>0</v>
      </c>
      <c r="Q69" s="272"/>
      <c r="R69" s="301">
        <f t="shared" si="11"/>
        <v>0</v>
      </c>
      <c r="S69" s="262"/>
      <c r="T69" s="301">
        <f t="shared" si="12"/>
        <v>0</v>
      </c>
    </row>
    <row r="70" spans="1:20" ht="60" thickBot="1">
      <c r="A70" s="121" t="s">
        <v>63</v>
      </c>
      <c r="B70" s="442"/>
      <c r="C70" s="155" t="s">
        <v>66</v>
      </c>
      <c r="D70" s="92"/>
      <c r="E70" s="95">
        <v>0.02</v>
      </c>
      <c r="F70" s="228"/>
      <c r="G70" s="442"/>
      <c r="H70" s="566" t="s">
        <v>448</v>
      </c>
      <c r="I70" s="575"/>
      <c r="J70" s="541">
        <f>82500*0.02</f>
        <v>1650</v>
      </c>
      <c r="K70" s="271"/>
      <c r="L70" s="301">
        <f t="shared" si="8"/>
        <v>9750</v>
      </c>
      <c r="M70" s="271"/>
      <c r="N70" s="301">
        <f t="shared" si="9"/>
        <v>15722.800000000001</v>
      </c>
      <c r="O70" s="271"/>
      <c r="P70" s="301">
        <f t="shared" si="10"/>
        <v>21800.28</v>
      </c>
      <c r="Q70" s="272"/>
      <c r="R70" s="301">
        <f t="shared" si="11"/>
        <v>22236.2856</v>
      </c>
      <c r="S70" s="262"/>
      <c r="T70" s="301">
        <f t="shared" si="12"/>
        <v>22681.011312000002</v>
      </c>
    </row>
    <row r="71" spans="1:20" ht="15" thickBot="1">
      <c r="A71" s="102"/>
      <c r="B71" s="442"/>
      <c r="C71" s="155"/>
      <c r="D71" s="92"/>
      <c r="E71" s="95"/>
      <c r="F71" s="228"/>
      <c r="G71" s="442"/>
      <c r="H71" s="94"/>
      <c r="I71" s="442"/>
      <c r="J71" s="301"/>
      <c r="K71" s="271"/>
      <c r="L71" s="301">
        <f t="shared" si="8"/>
        <v>0</v>
      </c>
      <c r="M71" s="271"/>
      <c r="N71" s="301">
        <f t="shared" si="9"/>
        <v>0</v>
      </c>
      <c r="O71" s="271"/>
      <c r="P71" s="301">
        <f t="shared" si="10"/>
        <v>0</v>
      </c>
      <c r="Q71" s="272"/>
      <c r="R71" s="301">
        <f t="shared" si="11"/>
        <v>0</v>
      </c>
      <c r="S71" s="262"/>
      <c r="T71" s="301">
        <f t="shared" si="12"/>
        <v>0</v>
      </c>
    </row>
    <row r="72" spans="1:20" ht="15" thickBot="1">
      <c r="A72" s="102"/>
      <c r="B72" s="442"/>
      <c r="C72" s="155"/>
      <c r="D72" s="92"/>
      <c r="E72" s="95"/>
      <c r="F72" s="228"/>
      <c r="G72" s="442"/>
      <c r="H72" s="94"/>
      <c r="I72" s="442"/>
      <c r="J72" s="301"/>
      <c r="K72" s="271"/>
      <c r="L72" s="301">
        <f t="shared" si="8"/>
        <v>0</v>
      </c>
      <c r="M72" s="271"/>
      <c r="N72" s="301">
        <f t="shared" si="9"/>
        <v>0</v>
      </c>
      <c r="O72" s="271"/>
      <c r="P72" s="301">
        <f t="shared" si="10"/>
        <v>0</v>
      </c>
      <c r="Q72" s="272"/>
      <c r="R72" s="301">
        <f t="shared" si="11"/>
        <v>0</v>
      </c>
      <c r="S72" s="262"/>
      <c r="T72" s="301">
        <f t="shared" si="12"/>
        <v>0</v>
      </c>
    </row>
    <row r="73" spans="1:20" ht="15" thickBot="1">
      <c r="A73" s="102"/>
      <c r="B73" s="442"/>
      <c r="C73" s="155"/>
      <c r="D73" s="92"/>
      <c r="E73" s="95"/>
      <c r="F73" s="228"/>
      <c r="G73" s="442"/>
      <c r="H73" s="94"/>
      <c r="I73" s="442"/>
      <c r="J73" s="301"/>
      <c r="K73" s="271"/>
      <c r="L73" s="301">
        <f t="shared" si="8"/>
        <v>0</v>
      </c>
      <c r="M73" s="271"/>
      <c r="N73" s="301">
        <f t="shared" si="9"/>
        <v>0</v>
      </c>
      <c r="O73" s="271"/>
      <c r="P73" s="301">
        <f t="shared" si="10"/>
        <v>0</v>
      </c>
      <c r="Q73" s="272"/>
      <c r="R73" s="301">
        <f t="shared" si="11"/>
        <v>0</v>
      </c>
      <c r="S73" s="262"/>
      <c r="T73" s="301">
        <f t="shared" si="12"/>
        <v>0</v>
      </c>
    </row>
    <row r="74" spans="1:20" ht="15" thickBot="1">
      <c r="A74" s="70"/>
      <c r="C74" s="155"/>
      <c r="D74" s="92"/>
      <c r="E74" s="95"/>
      <c r="F74" s="228"/>
      <c r="H74" s="94"/>
      <c r="J74" s="301"/>
      <c r="L74" s="301">
        <f t="shared" si="8"/>
        <v>0</v>
      </c>
      <c r="N74" s="301">
        <f t="shared" si="9"/>
        <v>0</v>
      </c>
      <c r="P74" s="301">
        <f t="shared" si="10"/>
        <v>0</v>
      </c>
      <c r="R74" s="301">
        <f t="shared" si="11"/>
        <v>0</v>
      </c>
      <c r="T74" s="301">
        <f t="shared" si="12"/>
        <v>0</v>
      </c>
    </row>
    <row r="75" spans="1:20" ht="15" thickBot="1">
      <c r="A75" s="243" t="s">
        <v>100</v>
      </c>
      <c r="B75" s="442"/>
      <c r="C75" s="135" t="s">
        <v>92</v>
      </c>
      <c r="D75" s="136" t="s">
        <v>92</v>
      </c>
      <c r="E75" s="136" t="s">
        <v>92</v>
      </c>
      <c r="F75" s="136" t="s">
        <v>92</v>
      </c>
      <c r="G75" s="442"/>
      <c r="H75" s="94"/>
      <c r="I75" s="442"/>
      <c r="J75" s="84">
        <v>0</v>
      </c>
      <c r="K75" s="271"/>
      <c r="L75" s="84">
        <v>0</v>
      </c>
      <c r="M75" s="271"/>
      <c r="N75" s="84">
        <v>0</v>
      </c>
      <c r="O75" s="271"/>
      <c r="P75" s="84">
        <v>0</v>
      </c>
      <c r="Q75" s="272"/>
      <c r="R75" s="84">
        <v>0</v>
      </c>
      <c r="S75" s="262"/>
      <c r="T75" s="84">
        <v>0</v>
      </c>
    </row>
    <row r="76" spans="1:20" ht="60" thickBot="1">
      <c r="A76" s="167" t="s">
        <v>7</v>
      </c>
      <c r="B76" s="442"/>
      <c r="C76" s="155" t="s">
        <v>1</v>
      </c>
      <c r="D76" s="570" t="s">
        <v>445</v>
      </c>
      <c r="E76" s="95"/>
      <c r="F76" s="228"/>
      <c r="G76" s="442"/>
      <c r="H76" s="566" t="s">
        <v>490</v>
      </c>
      <c r="I76" s="442"/>
      <c r="J76" s="301">
        <f>500*7</f>
        <v>3500</v>
      </c>
      <c r="K76" s="271"/>
      <c r="L76" s="301">
        <f>500*5</f>
        <v>2500</v>
      </c>
      <c r="M76" s="271"/>
      <c r="N76" s="301">
        <f>500*5</f>
        <v>2500</v>
      </c>
      <c r="O76" s="271"/>
      <c r="P76" s="301">
        <f>500*3</f>
        <v>1500</v>
      </c>
      <c r="Q76" s="272"/>
      <c r="R76" s="301">
        <f>500*3</f>
        <v>1500</v>
      </c>
      <c r="S76" s="262"/>
      <c r="T76" s="301">
        <f>500*3</f>
        <v>1500</v>
      </c>
    </row>
    <row r="77" spans="1:20" ht="45" thickBot="1">
      <c r="A77" s="166" t="s">
        <v>8</v>
      </c>
      <c r="B77" s="442"/>
      <c r="C77" s="155" t="s">
        <v>65</v>
      </c>
      <c r="D77" s="92">
        <v>250</v>
      </c>
      <c r="E77" s="95"/>
      <c r="F77" s="228"/>
      <c r="G77" s="442"/>
      <c r="H77" s="566" t="s">
        <v>478</v>
      </c>
      <c r="I77" s="442"/>
      <c r="J77" s="301">
        <v>10000</v>
      </c>
      <c r="K77" s="271"/>
      <c r="L77" s="301">
        <f>IF($C77="Per Employee",$L$165*$D77,IF($C77="% of Salaries",$E77*$L$166,IF($C77="Fixed Per Year",$D77,0)))+10000+6000</f>
        <v>18250</v>
      </c>
      <c r="M77" s="271"/>
      <c r="N77" s="301">
        <f>IF($C77="Per Employee",$N$165*$D77,IF($C77="% of Salaries",$E77*$N$166,IF($C77="Fixed Per Year",$D77)))*(1+$F77)^1+10000</f>
        <v>13500</v>
      </c>
      <c r="O77" s="271"/>
      <c r="P77" s="301">
        <f aca="true" t="shared" si="13" ref="P77:P83">IF($C77="Per Employee",$P$165*$D77,IF($C77="% of Salaries",$E77*$P$166,IF($C77="Fixed Per Year",$D77)))*(1+$F77)^2</f>
        <v>4750</v>
      </c>
      <c r="Q77" s="272"/>
      <c r="R77" s="301">
        <f aca="true" t="shared" si="14" ref="R77:R83">IF($C77="Per Employee",$R$165*$D77,IF($C77="% of Salaries",$E77*$R$166,IF($C77="Fixed Per Year",$D77)))*(1+$F77)^3</f>
        <v>4750</v>
      </c>
      <c r="S77" s="262"/>
      <c r="T77" s="301">
        <f aca="true" t="shared" si="15" ref="T77:T83">IF($C77="Per Employee",$T$165*$D77,IF($C77="% of Salaries",$E77*$T$166,IF($C77="Fixed Per Year",$D77)))*(1+$F77)^4</f>
        <v>4750</v>
      </c>
    </row>
    <row r="78" spans="1:20" ht="45" thickBot="1">
      <c r="A78" s="166" t="s">
        <v>101</v>
      </c>
      <c r="B78" s="442"/>
      <c r="C78" s="155" t="s">
        <v>65</v>
      </c>
      <c r="D78" s="92">
        <v>100</v>
      </c>
      <c r="E78" s="95"/>
      <c r="F78" s="228"/>
      <c r="G78" s="442"/>
      <c r="H78" s="566" t="s">
        <v>412</v>
      </c>
      <c r="I78" s="442"/>
      <c r="J78" s="301"/>
      <c r="K78" s="271"/>
      <c r="L78" s="301">
        <f aca="true" t="shared" si="16" ref="L78:L83">IF($C78="Per Employee",$L$165*$D78,IF($C78="% of Salaries",$E78*$L$166,IF($C78="Fixed Per Year",$D78,0)))</f>
        <v>900</v>
      </c>
      <c r="M78" s="271"/>
      <c r="N78" s="301">
        <f aca="true" t="shared" si="17" ref="N78:N83">IF($C78="Per Employee",$N$165*$D78,IF($C78="% of Salaries",$E78*$N$166,IF($C78="Fixed Per Year",$D78)))*(1+$F78)^1</f>
        <v>1400</v>
      </c>
      <c r="O78" s="271"/>
      <c r="P78" s="301">
        <f t="shared" si="13"/>
        <v>1900</v>
      </c>
      <c r="Q78" s="272"/>
      <c r="R78" s="301">
        <f t="shared" si="14"/>
        <v>1900</v>
      </c>
      <c r="S78" s="262"/>
      <c r="T78" s="301">
        <f t="shared" si="15"/>
        <v>1900</v>
      </c>
    </row>
    <row r="79" spans="1:20" ht="30" thickBot="1">
      <c r="A79" s="166" t="s">
        <v>102</v>
      </c>
      <c r="B79" s="442"/>
      <c r="C79" s="155"/>
      <c r="D79" s="92">
        <v>0</v>
      </c>
      <c r="E79" s="95"/>
      <c r="F79" s="228"/>
      <c r="G79" s="442"/>
      <c r="H79" s="94" t="s">
        <v>398</v>
      </c>
      <c r="I79" s="442"/>
      <c r="J79" s="301"/>
      <c r="K79" s="271"/>
      <c r="L79" s="301">
        <f t="shared" si="16"/>
        <v>0</v>
      </c>
      <c r="M79" s="271"/>
      <c r="N79" s="301">
        <f t="shared" si="17"/>
        <v>0</v>
      </c>
      <c r="O79" s="271"/>
      <c r="P79" s="301">
        <f t="shared" si="13"/>
        <v>0</v>
      </c>
      <c r="Q79" s="272"/>
      <c r="R79" s="301">
        <f t="shared" si="14"/>
        <v>0</v>
      </c>
      <c r="S79" s="262"/>
      <c r="T79" s="301">
        <f t="shared" si="15"/>
        <v>0</v>
      </c>
    </row>
    <row r="80" spans="1:20" ht="45" thickBot="1">
      <c r="A80" s="70" t="s">
        <v>407</v>
      </c>
      <c r="B80" s="442"/>
      <c r="C80" s="155" t="s">
        <v>94</v>
      </c>
      <c r="D80" s="92">
        <v>1800</v>
      </c>
      <c r="E80" s="95"/>
      <c r="F80" s="228"/>
      <c r="G80" s="442"/>
      <c r="H80" s="566" t="s">
        <v>489</v>
      </c>
      <c r="I80" s="442"/>
      <c r="J80" s="301"/>
      <c r="K80" s="271"/>
      <c r="L80" s="301">
        <f>IF($C80="Per Employee",$L$165*$D80,IF($C80="% of Salaries",$E80*$L$166,IF($C80="Fixed Per Year",$D80,0)))</f>
        <v>1800</v>
      </c>
      <c r="M80" s="271"/>
      <c r="N80" s="301">
        <f>IF($C80="Per Employee",$N$165*$D80,IF($C80="% of Salaries",$E80*$N$166,IF($C80="Fixed Per Year",$D80)))*(1+$F80)^1</f>
        <v>1800</v>
      </c>
      <c r="O80" s="271"/>
      <c r="P80" s="301">
        <f>IF($C80="Per Employee",$P$165*$D80,IF($C80="% of Salaries",$E80*$P$166,IF($C80="Fixed Per Year",$D80)))*(1+$F80)^2*2</f>
        <v>3600</v>
      </c>
      <c r="Q80" s="272"/>
      <c r="R80" s="301">
        <f>IF($C80="Per Employee",$R$165*$D80,IF($C80="% of Salaries",$E80*$R$166,IF($C80="Fixed Per Year",$D80)))*(1+$F80)^3*2</f>
        <v>3600</v>
      </c>
      <c r="S80" s="262"/>
      <c r="T80" s="301">
        <f>IF($C80="Per Employee",$T$165*$D80,IF($C80="% of Salaries",$E80*$T$166,IF($C80="Fixed Per Year",$D80)))*(1+$F80)^4*2</f>
        <v>3600</v>
      </c>
    </row>
    <row r="81" spans="1:20" ht="60" thickBot="1">
      <c r="A81" s="70" t="s">
        <v>413</v>
      </c>
      <c r="B81" s="442"/>
      <c r="C81" s="155" t="s">
        <v>1</v>
      </c>
      <c r="D81" s="567" t="s">
        <v>432</v>
      </c>
      <c r="E81" s="95"/>
      <c r="F81" s="228"/>
      <c r="G81" s="442"/>
      <c r="H81" s="566" t="s">
        <v>491</v>
      </c>
      <c r="I81" s="442"/>
      <c r="J81" s="301"/>
      <c r="K81" s="271"/>
      <c r="L81" s="301">
        <f>1500+250</f>
        <v>1750</v>
      </c>
      <c r="M81" s="271"/>
      <c r="N81" s="301">
        <f>(1500+250)*1.5</f>
        <v>2625</v>
      </c>
      <c r="O81" s="271"/>
      <c r="P81" s="301">
        <f>(1500+250)*2</f>
        <v>3500</v>
      </c>
      <c r="Q81" s="272"/>
      <c r="R81" s="301">
        <f>(1500+250)*2</f>
        <v>3500</v>
      </c>
      <c r="S81" s="262"/>
      <c r="T81" s="301">
        <f>(1500+250)*2</f>
        <v>3500</v>
      </c>
    </row>
    <row r="82" spans="1:20" ht="15" thickBot="1">
      <c r="A82" s="70"/>
      <c r="B82" s="442"/>
      <c r="C82" s="155"/>
      <c r="D82" s="92"/>
      <c r="E82" s="95"/>
      <c r="F82" s="228"/>
      <c r="G82" s="442"/>
      <c r="H82" s="94"/>
      <c r="I82" s="442"/>
      <c r="J82" s="301"/>
      <c r="K82" s="271"/>
      <c r="L82" s="301">
        <f t="shared" si="16"/>
        <v>0</v>
      </c>
      <c r="M82" s="271"/>
      <c r="N82" s="301">
        <f t="shared" si="17"/>
        <v>0</v>
      </c>
      <c r="O82" s="271"/>
      <c r="P82" s="301">
        <f t="shared" si="13"/>
        <v>0</v>
      </c>
      <c r="Q82" s="272"/>
      <c r="R82" s="301">
        <f t="shared" si="14"/>
        <v>0</v>
      </c>
      <c r="S82" s="262"/>
      <c r="T82" s="301">
        <f t="shared" si="15"/>
        <v>0</v>
      </c>
    </row>
    <row r="83" spans="1:20" ht="15" thickBot="1">
      <c r="A83" s="70"/>
      <c r="B83" s="442"/>
      <c r="C83" s="155"/>
      <c r="D83" s="92"/>
      <c r="E83" s="95"/>
      <c r="F83" s="228"/>
      <c r="G83" s="442"/>
      <c r="H83" s="94"/>
      <c r="I83" s="442"/>
      <c r="J83" s="301"/>
      <c r="K83" s="271"/>
      <c r="L83" s="301">
        <f t="shared" si="16"/>
        <v>0</v>
      </c>
      <c r="M83" s="271"/>
      <c r="N83" s="301">
        <f t="shared" si="17"/>
        <v>0</v>
      </c>
      <c r="O83" s="271"/>
      <c r="P83" s="301">
        <f t="shared" si="13"/>
        <v>0</v>
      </c>
      <c r="Q83" s="272"/>
      <c r="R83" s="301">
        <f t="shared" si="14"/>
        <v>0</v>
      </c>
      <c r="S83" s="262"/>
      <c r="T83" s="301">
        <f t="shared" si="15"/>
        <v>0</v>
      </c>
    </row>
    <row r="84" spans="1:20" ht="15" thickBot="1">
      <c r="A84" s="436"/>
      <c r="B84" s="435"/>
      <c r="C84" s="437"/>
      <c r="D84" s="437"/>
      <c r="E84" s="437"/>
      <c r="F84" s="437"/>
      <c r="G84" s="435"/>
      <c r="H84" s="431"/>
      <c r="I84" s="435"/>
      <c r="J84" s="278"/>
      <c r="K84" s="271"/>
      <c r="L84" s="278"/>
      <c r="M84" s="271"/>
      <c r="N84" s="278"/>
      <c r="O84" s="271"/>
      <c r="P84" s="278"/>
      <c r="Q84" s="272"/>
      <c r="R84" s="254"/>
      <c r="S84" s="262"/>
      <c r="T84" s="254"/>
    </row>
    <row r="85" spans="2:20" ht="15" thickBot="1">
      <c r="B85" s="434"/>
      <c r="C85" s="438"/>
      <c r="D85" s="438"/>
      <c r="E85" s="438"/>
      <c r="F85" s="438"/>
      <c r="G85" s="434"/>
      <c r="H85" s="103" t="s">
        <v>59</v>
      </c>
      <c r="I85" s="434"/>
      <c r="J85" s="132">
        <f>SUM(J62:J83)</f>
        <v>113613.75</v>
      </c>
      <c r="K85" s="98"/>
      <c r="L85" s="132">
        <f>SUM(L62:L83)</f>
        <v>623611.85</v>
      </c>
      <c r="M85" s="98"/>
      <c r="N85" s="132">
        <f>SUM(N62:N83)</f>
        <v>987355.7780000002</v>
      </c>
      <c r="O85" s="98"/>
      <c r="P85" s="132">
        <f>SUM(P62:P83)</f>
        <v>1355281.94468</v>
      </c>
      <c r="Q85" s="99"/>
      <c r="R85" s="132">
        <f>SUM(R62:R83)</f>
        <v>1382082.5835736003</v>
      </c>
      <c r="S85" s="247"/>
      <c r="T85" s="132">
        <f>SUM(T62:T83)</f>
        <v>1409419.235245072</v>
      </c>
    </row>
    <row r="86" spans="1:20" ht="15" thickBot="1">
      <c r="A86" s="439"/>
      <c r="B86" s="440"/>
      <c r="C86" s="441"/>
      <c r="D86" s="441"/>
      <c r="E86" s="441"/>
      <c r="F86" s="441"/>
      <c r="G86" s="440"/>
      <c r="H86" s="431"/>
      <c r="I86" s="440"/>
      <c r="J86" s="277"/>
      <c r="K86" s="271"/>
      <c r="L86" s="277"/>
      <c r="M86" s="271"/>
      <c r="N86" s="277"/>
      <c r="O86" s="271"/>
      <c r="P86" s="277"/>
      <c r="Q86" s="272"/>
      <c r="R86" s="40"/>
      <c r="S86" s="262"/>
      <c r="T86" s="40"/>
    </row>
    <row r="87" spans="1:20" ht="18" thickBot="1">
      <c r="A87" s="160" t="s">
        <v>60</v>
      </c>
      <c r="B87" s="434"/>
      <c r="C87" s="438"/>
      <c r="D87" s="438"/>
      <c r="E87" s="438"/>
      <c r="F87" s="438"/>
      <c r="G87" s="434"/>
      <c r="H87" s="431"/>
      <c r="I87" s="434"/>
      <c r="J87" s="277"/>
      <c r="K87" s="271"/>
      <c r="L87" s="277"/>
      <c r="M87" s="271"/>
      <c r="N87" s="277"/>
      <c r="O87" s="271"/>
      <c r="P87" s="277"/>
      <c r="Q87" s="272"/>
      <c r="R87" s="40"/>
      <c r="S87" s="262"/>
      <c r="T87" s="40"/>
    </row>
    <row r="88" spans="1:20" ht="15" thickBot="1">
      <c r="A88" s="172" t="s">
        <v>114</v>
      </c>
      <c r="B88" s="435"/>
      <c r="C88" s="154" t="s">
        <v>65</v>
      </c>
      <c r="D88" s="92">
        <v>200</v>
      </c>
      <c r="E88" s="134" t="s">
        <v>92</v>
      </c>
      <c r="F88" s="95"/>
      <c r="G88" s="435"/>
      <c r="H88" s="94" t="s">
        <v>477</v>
      </c>
      <c r="I88" s="435"/>
      <c r="J88" s="301"/>
      <c r="K88" s="271"/>
      <c r="L88" s="301">
        <f aca="true" t="shared" si="18" ref="L88:L98">IF($C88="Per Employee",$L$165*$D88,IF($C88="Per Pupil",$D88*$L$167,IF($C88="Fixed Per Year",$D88,0)))</f>
        <v>1800</v>
      </c>
      <c r="M88" s="271"/>
      <c r="N88" s="301">
        <f aca="true" t="shared" si="19" ref="N88:N98">IF($C88="Per Employee",$N$165*$D88,IF($C88="Per Pupil",$D88*$N$167,IF($C88="Fixed Per Year",$D88)))*(1+$F88)^1</f>
        <v>2800</v>
      </c>
      <c r="O88" s="271"/>
      <c r="P88" s="301">
        <f aca="true" t="shared" si="20" ref="P88:P98">IF($C88="Per Employee",$P$165*$D88,IF($C88="Per Pupil",$D88*$P$167,IF($C88="Fixed Per Year",$D88)))*(1+$F88)^2</f>
        <v>3800</v>
      </c>
      <c r="Q88" s="272"/>
      <c r="R88" s="301">
        <f aca="true" t="shared" si="21" ref="R88:R98">IF($C88="Per Employee",$R$165*$D88,IF($C88="Per Pupil",$D88*$R$167,IF($C88="Fixed Per Year",$D88)))*(1+$F88)^3</f>
        <v>3800</v>
      </c>
      <c r="S88" s="262"/>
      <c r="T88" s="301">
        <f aca="true" t="shared" si="22" ref="T88:T98">IF($C88="Per Employee",$T$165*$D88,IF($C88="Per Pupil",$D88*$T$167,IF($C88="Fixed Per Year",$D88)))*(1+$F88)^4</f>
        <v>3800</v>
      </c>
    </row>
    <row r="89" spans="1:20" ht="75" thickBot="1">
      <c r="A89" s="173" t="s">
        <v>106</v>
      </c>
      <c r="B89" s="435"/>
      <c r="C89" s="154" t="s">
        <v>1</v>
      </c>
      <c r="D89" s="92">
        <v>500</v>
      </c>
      <c r="E89" s="134" t="s">
        <v>92</v>
      </c>
      <c r="F89" s="95"/>
      <c r="G89" s="435"/>
      <c r="H89" s="566" t="s">
        <v>492</v>
      </c>
      <c r="I89" s="435"/>
      <c r="J89" s="301">
        <f>500*7</f>
        <v>3500</v>
      </c>
      <c r="K89" s="271"/>
      <c r="L89" s="301">
        <f>500*3</f>
        <v>1500</v>
      </c>
      <c r="M89" s="271"/>
      <c r="N89" s="301">
        <f>500*3+2500</f>
        <v>4000</v>
      </c>
      <c r="O89" s="271"/>
      <c r="P89" s="301">
        <f t="shared" si="20"/>
        <v>0</v>
      </c>
      <c r="Q89" s="272"/>
      <c r="R89" s="301">
        <f t="shared" si="21"/>
        <v>0</v>
      </c>
      <c r="S89" s="262"/>
      <c r="T89" s="301">
        <f t="shared" si="22"/>
        <v>0</v>
      </c>
    </row>
    <row r="90" spans="1:20" ht="45" thickBot="1">
      <c r="A90" s="173" t="s">
        <v>112</v>
      </c>
      <c r="B90" s="435"/>
      <c r="C90" s="154" t="s">
        <v>94</v>
      </c>
      <c r="D90" s="92">
        <v>4800</v>
      </c>
      <c r="E90" s="134" t="s">
        <v>92</v>
      </c>
      <c r="F90" s="95"/>
      <c r="G90" s="435"/>
      <c r="H90" s="94" t="s">
        <v>421</v>
      </c>
      <c r="I90" s="435"/>
      <c r="J90" s="301">
        <f>6000*1</f>
        <v>6000</v>
      </c>
      <c r="K90" s="271"/>
      <c r="L90" s="301">
        <f t="shared" si="18"/>
        <v>4800</v>
      </c>
      <c r="M90" s="271"/>
      <c r="N90" s="301">
        <f t="shared" si="19"/>
        <v>4800</v>
      </c>
      <c r="O90" s="271"/>
      <c r="P90" s="301">
        <f t="shared" si="20"/>
        <v>4800</v>
      </c>
      <c r="Q90" s="272"/>
      <c r="R90" s="301">
        <f t="shared" si="21"/>
        <v>4800</v>
      </c>
      <c r="S90" s="262"/>
      <c r="T90" s="301">
        <f t="shared" si="22"/>
        <v>4800</v>
      </c>
    </row>
    <row r="91" spans="1:20" ht="15" thickBot="1">
      <c r="A91" s="173" t="s">
        <v>113</v>
      </c>
      <c r="B91" s="435"/>
      <c r="C91" s="154" t="s">
        <v>94</v>
      </c>
      <c r="D91" s="92"/>
      <c r="E91" s="134" t="s">
        <v>92</v>
      </c>
      <c r="F91" s="95"/>
      <c r="G91" s="435"/>
      <c r="H91" s="94" t="s">
        <v>92</v>
      </c>
      <c r="I91" s="435"/>
      <c r="J91" s="301"/>
      <c r="K91" s="271"/>
      <c r="L91" s="301">
        <f t="shared" si="18"/>
        <v>0</v>
      </c>
      <c r="M91" s="271"/>
      <c r="N91" s="301">
        <f t="shared" si="19"/>
        <v>0</v>
      </c>
      <c r="O91" s="271"/>
      <c r="P91" s="301">
        <f t="shared" si="20"/>
        <v>0</v>
      </c>
      <c r="Q91" s="272"/>
      <c r="R91" s="301">
        <f t="shared" si="21"/>
        <v>0</v>
      </c>
      <c r="S91" s="262"/>
      <c r="T91" s="301">
        <f t="shared" si="22"/>
        <v>0</v>
      </c>
    </row>
    <row r="92" spans="1:20" ht="45" thickBot="1">
      <c r="A92" s="173" t="s">
        <v>115</v>
      </c>
      <c r="B92" s="435"/>
      <c r="C92" s="154" t="s">
        <v>94</v>
      </c>
      <c r="D92" s="92">
        <v>45000</v>
      </c>
      <c r="E92" s="134" t="s">
        <v>92</v>
      </c>
      <c r="F92" s="95"/>
      <c r="G92" s="435"/>
      <c r="H92" s="94" t="s">
        <v>465</v>
      </c>
      <c r="I92" s="435"/>
      <c r="J92" s="301"/>
      <c r="K92" s="271"/>
      <c r="L92" s="301">
        <f t="shared" si="18"/>
        <v>45000</v>
      </c>
      <c r="M92" s="271"/>
      <c r="N92" s="301">
        <f t="shared" si="19"/>
        <v>45000</v>
      </c>
      <c r="O92" s="271"/>
      <c r="P92" s="301">
        <f t="shared" si="20"/>
        <v>45000</v>
      </c>
      <c r="Q92" s="272"/>
      <c r="R92" s="301">
        <f t="shared" si="21"/>
        <v>45000</v>
      </c>
      <c r="S92" s="262"/>
      <c r="T92" s="301">
        <f t="shared" si="22"/>
        <v>45000</v>
      </c>
    </row>
    <row r="93" spans="1:20" ht="30" thickBot="1">
      <c r="A93" s="173" t="s">
        <v>117</v>
      </c>
      <c r="B93" s="435"/>
      <c r="C93" s="154" t="s">
        <v>94</v>
      </c>
      <c r="D93" s="92">
        <v>4000</v>
      </c>
      <c r="E93" s="134" t="s">
        <v>92</v>
      </c>
      <c r="F93" s="95"/>
      <c r="G93" s="435"/>
      <c r="H93" s="94" t="s">
        <v>399</v>
      </c>
      <c r="I93" s="435"/>
      <c r="J93" s="301">
        <v>4000</v>
      </c>
      <c r="K93" s="271"/>
      <c r="L93" s="301">
        <f t="shared" si="18"/>
        <v>4000</v>
      </c>
      <c r="M93" s="271"/>
      <c r="N93" s="301">
        <f t="shared" si="19"/>
        <v>4000</v>
      </c>
      <c r="O93" s="271"/>
      <c r="P93" s="301">
        <f t="shared" si="20"/>
        <v>4000</v>
      </c>
      <c r="Q93" s="272"/>
      <c r="R93" s="301">
        <f t="shared" si="21"/>
        <v>4000</v>
      </c>
      <c r="S93" s="262"/>
      <c r="T93" s="301">
        <f t="shared" si="22"/>
        <v>4000</v>
      </c>
    </row>
    <row r="94" spans="1:20" ht="15" thickBot="1">
      <c r="A94" s="173" t="s">
        <v>116</v>
      </c>
      <c r="B94" s="435"/>
      <c r="C94" s="154" t="s">
        <v>94</v>
      </c>
      <c r="D94" s="92">
        <v>780</v>
      </c>
      <c r="E94" s="134" t="s">
        <v>92</v>
      </c>
      <c r="F94" s="95"/>
      <c r="G94" s="435"/>
      <c r="H94" s="94" t="s">
        <v>400</v>
      </c>
      <c r="I94" s="435"/>
      <c r="J94" s="301">
        <f>30*13</f>
        <v>390</v>
      </c>
      <c r="K94" s="271"/>
      <c r="L94" s="301">
        <f t="shared" si="18"/>
        <v>780</v>
      </c>
      <c r="M94" s="271"/>
      <c r="N94" s="301">
        <f t="shared" si="19"/>
        <v>780</v>
      </c>
      <c r="O94" s="271"/>
      <c r="P94" s="301">
        <f t="shared" si="20"/>
        <v>780</v>
      </c>
      <c r="Q94" s="272"/>
      <c r="R94" s="301">
        <f t="shared" si="21"/>
        <v>780</v>
      </c>
      <c r="S94" s="262"/>
      <c r="T94" s="301">
        <f t="shared" si="22"/>
        <v>780</v>
      </c>
    </row>
    <row r="95" spans="1:20" ht="30" thickBot="1">
      <c r="A95" s="173" t="s">
        <v>10</v>
      </c>
      <c r="B95" s="435"/>
      <c r="C95" s="154" t="s">
        <v>67</v>
      </c>
      <c r="D95" s="92">
        <v>10</v>
      </c>
      <c r="E95" s="134" t="s">
        <v>92</v>
      </c>
      <c r="F95" s="95"/>
      <c r="G95" s="435"/>
      <c r="H95" s="571" t="s">
        <v>446</v>
      </c>
      <c r="I95" s="435"/>
      <c r="J95" s="301"/>
      <c r="K95" s="271"/>
      <c r="L95" s="301">
        <f t="shared" si="18"/>
        <v>900</v>
      </c>
      <c r="M95" s="271"/>
      <c r="N95" s="301">
        <f t="shared" si="19"/>
        <v>1350</v>
      </c>
      <c r="O95" s="271"/>
      <c r="P95" s="301">
        <f t="shared" si="20"/>
        <v>1800</v>
      </c>
      <c r="Q95" s="272"/>
      <c r="R95" s="301">
        <f t="shared" si="21"/>
        <v>1800</v>
      </c>
      <c r="S95" s="262"/>
      <c r="T95" s="301">
        <f t="shared" si="22"/>
        <v>1800</v>
      </c>
    </row>
    <row r="96" spans="1:20" ht="30" thickBot="1">
      <c r="A96" s="173" t="s">
        <v>118</v>
      </c>
      <c r="B96" s="435"/>
      <c r="C96" s="154" t="s">
        <v>67</v>
      </c>
      <c r="D96" s="92">
        <v>5</v>
      </c>
      <c r="E96" s="134" t="s">
        <v>92</v>
      </c>
      <c r="F96" s="95"/>
      <c r="G96" s="435"/>
      <c r="H96" s="94" t="s">
        <v>401</v>
      </c>
      <c r="I96" s="435"/>
      <c r="J96" s="301"/>
      <c r="K96" s="271"/>
      <c r="L96" s="301">
        <f t="shared" si="18"/>
        <v>450</v>
      </c>
      <c r="M96" s="271"/>
      <c r="N96" s="301">
        <f t="shared" si="19"/>
        <v>675</v>
      </c>
      <c r="O96" s="271"/>
      <c r="P96" s="301">
        <f t="shared" si="20"/>
        <v>900</v>
      </c>
      <c r="Q96" s="272"/>
      <c r="R96" s="301">
        <f t="shared" si="21"/>
        <v>900</v>
      </c>
      <c r="S96" s="262"/>
      <c r="T96" s="301">
        <f t="shared" si="22"/>
        <v>900</v>
      </c>
    </row>
    <row r="97" spans="1:20" ht="15" thickBot="1">
      <c r="A97" s="173" t="s">
        <v>119</v>
      </c>
      <c r="B97" s="435"/>
      <c r="C97" s="154"/>
      <c r="D97" s="92"/>
      <c r="E97" s="134" t="s">
        <v>92</v>
      </c>
      <c r="F97" s="95"/>
      <c r="G97" s="435"/>
      <c r="H97" s="94"/>
      <c r="I97" s="435"/>
      <c r="J97" s="301"/>
      <c r="K97" s="271"/>
      <c r="L97" s="301">
        <f t="shared" si="18"/>
        <v>0</v>
      </c>
      <c r="M97" s="271"/>
      <c r="N97" s="301">
        <f t="shared" si="19"/>
        <v>0</v>
      </c>
      <c r="O97" s="271"/>
      <c r="P97" s="301">
        <f t="shared" si="20"/>
        <v>0</v>
      </c>
      <c r="Q97" s="272"/>
      <c r="R97" s="301">
        <f t="shared" si="21"/>
        <v>0</v>
      </c>
      <c r="S97" s="262"/>
      <c r="T97" s="301">
        <f t="shared" si="22"/>
        <v>0</v>
      </c>
    </row>
    <row r="98" spans="1:20" ht="45" thickBot="1">
      <c r="A98" s="173" t="s">
        <v>120</v>
      </c>
      <c r="B98" s="435"/>
      <c r="C98" s="154" t="s">
        <v>65</v>
      </c>
      <c r="D98" s="92">
        <v>0</v>
      </c>
      <c r="E98" s="134" t="s">
        <v>92</v>
      </c>
      <c r="F98" s="95"/>
      <c r="G98" s="435"/>
      <c r="H98" s="94" t="s">
        <v>435</v>
      </c>
      <c r="I98" s="435"/>
      <c r="J98" s="301"/>
      <c r="K98" s="271"/>
      <c r="L98" s="301">
        <f t="shared" si="18"/>
        <v>0</v>
      </c>
      <c r="M98" s="271"/>
      <c r="N98" s="301">
        <f t="shared" si="19"/>
        <v>0</v>
      </c>
      <c r="O98" s="271"/>
      <c r="P98" s="301">
        <f t="shared" si="20"/>
        <v>0</v>
      </c>
      <c r="Q98" s="272"/>
      <c r="R98" s="301">
        <f t="shared" si="21"/>
        <v>0</v>
      </c>
      <c r="S98" s="262"/>
      <c r="T98" s="301">
        <f t="shared" si="22"/>
        <v>0</v>
      </c>
    </row>
    <row r="99" spans="1:20" s="538" customFormat="1" ht="45" thickBot="1">
      <c r="A99" s="529" t="s">
        <v>202</v>
      </c>
      <c r="B99" s="530"/>
      <c r="C99" s="531" t="s">
        <v>1</v>
      </c>
      <c r="D99" s="531" t="s">
        <v>92</v>
      </c>
      <c r="E99" s="532" t="s">
        <v>92</v>
      </c>
      <c r="F99" s="533" t="s">
        <v>92</v>
      </c>
      <c r="G99" s="530"/>
      <c r="H99" s="514" t="s">
        <v>298</v>
      </c>
      <c r="I99" s="530"/>
      <c r="J99" s="534">
        <v>0</v>
      </c>
      <c r="K99" s="535"/>
      <c r="L99" s="534">
        <f>((L10+L11)*0.03)+(L14*0.0267)</f>
        <v>19719.801</v>
      </c>
      <c r="M99" s="535"/>
      <c r="N99" s="534">
        <f>((N10+N11)*0.03)+(N14*0.0267)</f>
        <v>29579.7015</v>
      </c>
      <c r="O99" s="535"/>
      <c r="P99" s="534">
        <f>((P10+P11)*0.03)+(P14*0.0267)</f>
        <v>39439.602</v>
      </c>
      <c r="Q99" s="536"/>
      <c r="R99" s="534">
        <f>((R10+R11)*0.03)+(R14*0.0267)</f>
        <v>39439.602</v>
      </c>
      <c r="S99" s="537"/>
      <c r="T99" s="534">
        <f>((T10+T11)*0.03)+(T14*0.0267)</f>
        <v>39439.602</v>
      </c>
    </row>
    <row r="100" spans="1:20" ht="45" thickBot="1">
      <c r="A100" s="76" t="s">
        <v>466</v>
      </c>
      <c r="B100" s="435"/>
      <c r="C100" s="154" t="s">
        <v>1</v>
      </c>
      <c r="D100" s="92">
        <v>500</v>
      </c>
      <c r="E100" s="134" t="s">
        <v>92</v>
      </c>
      <c r="F100" s="95"/>
      <c r="G100" s="435"/>
      <c r="H100" s="566" t="s">
        <v>467</v>
      </c>
      <c r="I100" s="435"/>
      <c r="J100" s="301">
        <f>500*9</f>
        <v>4500</v>
      </c>
      <c r="K100" s="271"/>
      <c r="L100" s="301">
        <f>0</f>
        <v>0</v>
      </c>
      <c r="M100" s="271"/>
      <c r="N100" s="301">
        <f>500*5</f>
        <v>2500</v>
      </c>
      <c r="O100" s="271"/>
      <c r="P100" s="301">
        <f>500*5</f>
        <v>2500</v>
      </c>
      <c r="Q100" s="272"/>
      <c r="R100" s="301">
        <f>500*3</f>
        <v>1500</v>
      </c>
      <c r="S100" s="262"/>
      <c r="T100" s="301">
        <f>500*3</f>
        <v>1500</v>
      </c>
    </row>
    <row r="101" spans="1:20" ht="15" thickBot="1">
      <c r="A101" s="76"/>
      <c r="B101" s="435"/>
      <c r="C101" s="154"/>
      <c r="D101" s="92"/>
      <c r="E101" s="134" t="s">
        <v>92</v>
      </c>
      <c r="F101" s="95"/>
      <c r="G101" s="435"/>
      <c r="H101" s="94"/>
      <c r="I101" s="435"/>
      <c r="J101" s="301"/>
      <c r="K101" s="271"/>
      <c r="L101" s="301">
        <f aca="true" t="shared" si="23" ref="L101:L107">IF($C101="Per Employee",$L$165*$D101,IF($C101="Per Pupil",$D101*$L$167,IF($C101="Fixed Per Year",$D101,0)))</f>
        <v>0</v>
      </c>
      <c r="M101" s="271"/>
      <c r="N101" s="301">
        <f aca="true" t="shared" si="24" ref="N101:N107">IF($C101="Per Employee",$N$165*$D101,IF($C101="Per Pupil",$D101*$N$167,IF($C101="Fixed Per Year",$D101)))*(1+$F101)^1</f>
        <v>0</v>
      </c>
      <c r="O101" s="271"/>
      <c r="P101" s="301">
        <f aca="true" t="shared" si="25" ref="P101:P107">IF($C101="Per Employee",$P$165*$D101,IF($C101="Per Pupil",$D101*$P$167,IF($C101="Fixed Per Year",$D101)))*(1+$F101)^2</f>
        <v>0</v>
      </c>
      <c r="Q101" s="272"/>
      <c r="R101" s="301">
        <f aca="true" t="shared" si="26" ref="R101:R107">IF($C101="Per Employee",$R$165*$D101,IF($C101="Per Pupil",$D101*$R$167,IF($C101="Fixed Per Year",$D101)))*(1+$F101)^3</f>
        <v>0</v>
      </c>
      <c r="S101" s="262"/>
      <c r="T101" s="301">
        <f aca="true" t="shared" si="27" ref="T101:T107">IF($C101="Per Employee",$T$165*$D101,IF($C101="Per Pupil",$D101*$T$167,IF($C101="Fixed Per Year",$D101)))*(1+$F101)^4</f>
        <v>0</v>
      </c>
    </row>
    <row r="102" spans="1:20" ht="15" thickBot="1">
      <c r="A102" s="660"/>
      <c r="B102" s="435"/>
      <c r="C102" s="154"/>
      <c r="D102" s="92"/>
      <c r="E102" s="134" t="s">
        <v>92</v>
      </c>
      <c r="F102" s="95"/>
      <c r="G102" s="435"/>
      <c r="H102" s="94"/>
      <c r="I102" s="435"/>
      <c r="J102" s="301"/>
      <c r="K102" s="271"/>
      <c r="L102" s="301">
        <f t="shared" si="23"/>
        <v>0</v>
      </c>
      <c r="M102" s="271"/>
      <c r="N102" s="301">
        <f t="shared" si="24"/>
        <v>0</v>
      </c>
      <c r="O102" s="271"/>
      <c r="P102" s="301">
        <f t="shared" si="25"/>
        <v>0</v>
      </c>
      <c r="Q102" s="272"/>
      <c r="R102" s="301">
        <f t="shared" si="26"/>
        <v>0</v>
      </c>
      <c r="S102" s="262"/>
      <c r="T102" s="301">
        <f t="shared" si="27"/>
        <v>0</v>
      </c>
    </row>
    <row r="103" spans="1:20" ht="15" thickBot="1">
      <c r="A103" s="76"/>
      <c r="B103" s="435"/>
      <c r="C103" s="154"/>
      <c r="D103" s="92"/>
      <c r="E103" s="134" t="s">
        <v>92</v>
      </c>
      <c r="F103" s="95"/>
      <c r="G103" s="435"/>
      <c r="H103" s="94"/>
      <c r="I103" s="435"/>
      <c r="J103" s="301"/>
      <c r="K103" s="271"/>
      <c r="L103" s="301">
        <f t="shared" si="23"/>
        <v>0</v>
      </c>
      <c r="M103" s="271"/>
      <c r="N103" s="301">
        <f t="shared" si="24"/>
        <v>0</v>
      </c>
      <c r="O103" s="271"/>
      <c r="P103" s="301">
        <f t="shared" si="25"/>
        <v>0</v>
      </c>
      <c r="Q103" s="272"/>
      <c r="R103" s="301">
        <f t="shared" si="26"/>
        <v>0</v>
      </c>
      <c r="S103" s="262"/>
      <c r="T103" s="301">
        <f t="shared" si="27"/>
        <v>0</v>
      </c>
    </row>
    <row r="104" spans="1:20" ht="15" thickBot="1">
      <c r="A104" s="76"/>
      <c r="B104" s="435"/>
      <c r="C104" s="154"/>
      <c r="D104" s="92"/>
      <c r="E104" s="134" t="s">
        <v>92</v>
      </c>
      <c r="F104" s="95"/>
      <c r="G104" s="435"/>
      <c r="H104" s="94"/>
      <c r="I104" s="435"/>
      <c r="J104" s="301"/>
      <c r="K104" s="271"/>
      <c r="L104" s="301">
        <f t="shared" si="23"/>
        <v>0</v>
      </c>
      <c r="M104" s="271"/>
      <c r="N104" s="301">
        <f t="shared" si="24"/>
        <v>0</v>
      </c>
      <c r="O104" s="271"/>
      <c r="P104" s="301">
        <f t="shared" si="25"/>
        <v>0</v>
      </c>
      <c r="Q104" s="272"/>
      <c r="R104" s="301">
        <f t="shared" si="26"/>
        <v>0</v>
      </c>
      <c r="S104" s="262"/>
      <c r="T104" s="301">
        <f t="shared" si="27"/>
        <v>0</v>
      </c>
    </row>
    <row r="105" spans="1:20" ht="15" thickBot="1">
      <c r="A105" s="76"/>
      <c r="B105" s="435"/>
      <c r="C105" s="154"/>
      <c r="D105" s="92"/>
      <c r="E105" s="134" t="s">
        <v>92</v>
      </c>
      <c r="F105" s="95"/>
      <c r="G105" s="435"/>
      <c r="H105" s="94"/>
      <c r="I105" s="435"/>
      <c r="J105" s="301"/>
      <c r="K105" s="271"/>
      <c r="L105" s="301">
        <f t="shared" si="23"/>
        <v>0</v>
      </c>
      <c r="M105" s="271"/>
      <c r="N105" s="301">
        <f t="shared" si="24"/>
        <v>0</v>
      </c>
      <c r="O105" s="271"/>
      <c r="P105" s="301">
        <f t="shared" si="25"/>
        <v>0</v>
      </c>
      <c r="Q105" s="272"/>
      <c r="R105" s="301">
        <f t="shared" si="26"/>
        <v>0</v>
      </c>
      <c r="S105" s="262"/>
      <c r="T105" s="301">
        <f t="shared" si="27"/>
        <v>0</v>
      </c>
    </row>
    <row r="106" spans="1:20" ht="15" thickBot="1">
      <c r="A106" s="76"/>
      <c r="B106" s="435"/>
      <c r="C106" s="154"/>
      <c r="D106" s="92"/>
      <c r="E106" s="134" t="s">
        <v>92</v>
      </c>
      <c r="F106" s="95"/>
      <c r="G106" s="435"/>
      <c r="H106" s="94"/>
      <c r="I106" s="435"/>
      <c r="J106" s="301"/>
      <c r="K106" s="271"/>
      <c r="L106" s="301">
        <f t="shared" si="23"/>
        <v>0</v>
      </c>
      <c r="M106" s="271"/>
      <c r="N106" s="301">
        <f t="shared" si="24"/>
        <v>0</v>
      </c>
      <c r="O106" s="271"/>
      <c r="P106" s="301">
        <f t="shared" si="25"/>
        <v>0</v>
      </c>
      <c r="Q106" s="272"/>
      <c r="R106" s="301">
        <f t="shared" si="26"/>
        <v>0</v>
      </c>
      <c r="S106" s="262"/>
      <c r="T106" s="301">
        <f t="shared" si="27"/>
        <v>0</v>
      </c>
    </row>
    <row r="107" spans="1:20" ht="15" thickBot="1">
      <c r="A107" s="76"/>
      <c r="B107" s="435"/>
      <c r="C107" s="154"/>
      <c r="D107" s="92"/>
      <c r="E107" s="134" t="s">
        <v>92</v>
      </c>
      <c r="F107" s="95"/>
      <c r="G107" s="435"/>
      <c r="H107" s="94"/>
      <c r="I107" s="435"/>
      <c r="J107" s="301"/>
      <c r="K107" s="271"/>
      <c r="L107" s="301">
        <f t="shared" si="23"/>
        <v>0</v>
      </c>
      <c r="M107" s="271"/>
      <c r="N107" s="301">
        <f t="shared" si="24"/>
        <v>0</v>
      </c>
      <c r="O107" s="271"/>
      <c r="P107" s="301">
        <f t="shared" si="25"/>
        <v>0</v>
      </c>
      <c r="Q107" s="272"/>
      <c r="R107" s="301">
        <f t="shared" si="26"/>
        <v>0</v>
      </c>
      <c r="S107" s="262"/>
      <c r="T107" s="301">
        <f t="shared" si="27"/>
        <v>0</v>
      </c>
    </row>
    <row r="108" spans="1:20" ht="15" thickBot="1">
      <c r="A108" s="436"/>
      <c r="B108" s="435"/>
      <c r="C108" s="437"/>
      <c r="D108" s="437"/>
      <c r="E108" s="437"/>
      <c r="F108" s="437"/>
      <c r="G108" s="435"/>
      <c r="H108" s="431"/>
      <c r="I108" s="435"/>
      <c r="J108" s="278"/>
      <c r="K108" s="271"/>
      <c r="L108" s="278"/>
      <c r="M108" s="271"/>
      <c r="N108" s="278"/>
      <c r="O108" s="271"/>
      <c r="P108" s="278"/>
      <c r="Q108" s="272"/>
      <c r="R108" s="254"/>
      <c r="S108" s="262"/>
      <c r="T108" s="254"/>
    </row>
    <row r="109" spans="2:20" ht="15" thickBot="1">
      <c r="B109" s="434"/>
      <c r="C109" s="438"/>
      <c r="D109" s="438"/>
      <c r="E109" s="438"/>
      <c r="F109" s="438"/>
      <c r="G109" s="434"/>
      <c r="H109" s="103" t="s">
        <v>11</v>
      </c>
      <c r="I109" s="434"/>
      <c r="J109" s="132">
        <f>SUM(J88:J107)</f>
        <v>18390</v>
      </c>
      <c r="K109" s="98"/>
      <c r="L109" s="132">
        <f>SUM(L88:L107)</f>
        <v>78949.801</v>
      </c>
      <c r="M109" s="98"/>
      <c r="N109" s="132">
        <f>SUM(N88:N107)</f>
        <v>95484.7015</v>
      </c>
      <c r="O109" s="98"/>
      <c r="P109" s="132">
        <f>SUM(P88:P107)</f>
        <v>103019.602</v>
      </c>
      <c r="Q109" s="99"/>
      <c r="R109" s="132">
        <f>SUM(R88:R107)</f>
        <v>102019.602</v>
      </c>
      <c r="S109" s="247"/>
      <c r="T109" s="132">
        <f>SUM(T88:T107)</f>
        <v>102019.602</v>
      </c>
    </row>
    <row r="110" spans="1:20" ht="15" thickBot="1">
      <c r="A110" s="443"/>
      <c r="B110" s="434"/>
      <c r="C110" s="438"/>
      <c r="D110" s="438"/>
      <c r="E110" s="438"/>
      <c r="F110" s="438"/>
      <c r="G110" s="434"/>
      <c r="H110" s="431"/>
      <c r="I110" s="434"/>
      <c r="J110" s="278"/>
      <c r="K110" s="271"/>
      <c r="L110" s="278"/>
      <c r="M110" s="271"/>
      <c r="N110" s="278"/>
      <c r="O110" s="271"/>
      <c r="P110" s="278"/>
      <c r="Q110" s="272"/>
      <c r="R110" s="278"/>
      <c r="S110" s="262"/>
      <c r="T110" s="278"/>
    </row>
    <row r="111" spans="1:20" ht="18.75" customHeight="1" thickBot="1">
      <c r="A111" s="103" t="s">
        <v>126</v>
      </c>
      <c r="B111" s="434"/>
      <c r="C111" s="438"/>
      <c r="D111" s="438"/>
      <c r="E111" s="438"/>
      <c r="F111" s="438"/>
      <c r="G111" s="434"/>
      <c r="H111" s="431"/>
      <c r="I111" s="434"/>
      <c r="J111" s="277"/>
      <c r="K111" s="271"/>
      <c r="L111" s="277"/>
      <c r="M111" s="271"/>
      <c r="N111" s="277"/>
      <c r="O111" s="271"/>
      <c r="P111" s="277"/>
      <c r="Q111" s="272"/>
      <c r="R111" s="40"/>
      <c r="S111" s="262"/>
      <c r="T111" s="40"/>
    </row>
    <row r="112" spans="1:20" ht="45" thickBot="1">
      <c r="A112" s="167" t="s">
        <v>173</v>
      </c>
      <c r="B112" s="435"/>
      <c r="C112" s="154" t="s">
        <v>1</v>
      </c>
      <c r="D112" s="92" t="s">
        <v>414</v>
      </c>
      <c r="E112" s="137" t="s">
        <v>92</v>
      </c>
      <c r="F112" s="95"/>
      <c r="G112" s="435"/>
      <c r="H112" s="566" t="s">
        <v>473</v>
      </c>
      <c r="I112" s="435"/>
      <c r="J112" s="539"/>
      <c r="K112" s="271"/>
      <c r="L112" s="301">
        <f>8*13525</f>
        <v>108200</v>
      </c>
      <c r="M112" s="271"/>
      <c r="N112" s="301">
        <f>8*13525</f>
        <v>108200</v>
      </c>
      <c r="O112" s="271"/>
      <c r="P112" s="301">
        <f>8*20801</f>
        <v>166408</v>
      </c>
      <c r="Q112" s="272"/>
      <c r="R112" s="301">
        <f>8*20801</f>
        <v>166408</v>
      </c>
      <c r="S112" s="262"/>
      <c r="T112" s="301">
        <f>8*20801</f>
        <v>166408</v>
      </c>
    </row>
    <row r="113" spans="1:20" ht="45" thickBot="1">
      <c r="A113" s="166" t="s">
        <v>13</v>
      </c>
      <c r="B113" s="435"/>
      <c r="C113" s="154" t="s">
        <v>1</v>
      </c>
      <c r="D113" s="92" t="s">
        <v>417</v>
      </c>
      <c r="E113" s="137" t="s">
        <v>92</v>
      </c>
      <c r="F113" s="95"/>
      <c r="G113" s="435"/>
      <c r="H113" s="566" t="s">
        <v>474</v>
      </c>
      <c r="I113" s="435"/>
      <c r="J113" s="539"/>
      <c r="K113" s="271"/>
      <c r="L113" s="301">
        <f>3*13525</f>
        <v>40575</v>
      </c>
      <c r="M113" s="271"/>
      <c r="N113" s="301">
        <f>3*13525</f>
        <v>40575</v>
      </c>
      <c r="O113" s="271"/>
      <c r="P113" s="301">
        <f>3*20801</f>
        <v>62403</v>
      </c>
      <c r="Q113" s="272"/>
      <c r="R113" s="301">
        <f>3*20801</f>
        <v>62403</v>
      </c>
      <c r="S113" s="262"/>
      <c r="T113" s="301">
        <f>3*20801</f>
        <v>62403</v>
      </c>
    </row>
    <row r="114" spans="1:20" ht="45" thickBot="1">
      <c r="A114" s="166" t="s">
        <v>122</v>
      </c>
      <c r="B114" s="435"/>
      <c r="C114" s="154" t="s">
        <v>1</v>
      </c>
      <c r="D114" s="92" t="s">
        <v>450</v>
      </c>
      <c r="E114" s="137" t="s">
        <v>92</v>
      </c>
      <c r="F114" s="95"/>
      <c r="G114" s="435"/>
      <c r="H114" s="566" t="s">
        <v>475</v>
      </c>
      <c r="I114" s="435"/>
      <c r="J114" s="539"/>
      <c r="K114" s="271"/>
      <c r="L114" s="301">
        <f>2.5*13525</f>
        <v>33812.5</v>
      </c>
      <c r="M114" s="271"/>
      <c r="N114" s="301">
        <f>2.5*13525</f>
        <v>33812.5</v>
      </c>
      <c r="O114" s="271"/>
      <c r="P114" s="301">
        <f>2.5*20801</f>
        <v>52002.5</v>
      </c>
      <c r="Q114" s="272"/>
      <c r="R114" s="301">
        <f>2.5*20801</f>
        <v>52002.5</v>
      </c>
      <c r="S114" s="262"/>
      <c r="T114" s="301">
        <f>2.5*20801</f>
        <v>52002.5</v>
      </c>
    </row>
    <row r="115" spans="1:20" ht="30" thickBot="1">
      <c r="A115" s="166" t="s">
        <v>9</v>
      </c>
      <c r="B115" s="435"/>
      <c r="C115" s="154"/>
      <c r="D115" s="92">
        <v>0</v>
      </c>
      <c r="E115" s="137" t="s">
        <v>92</v>
      </c>
      <c r="F115" s="95"/>
      <c r="G115" s="435"/>
      <c r="H115" s="94" t="s">
        <v>433</v>
      </c>
      <c r="I115" s="435"/>
      <c r="J115" s="539"/>
      <c r="K115" s="271"/>
      <c r="L115" s="301">
        <f aca="true" t="shared" si="28" ref="L115:L129">IF($C115="Per Employee",$L$165*$D115,IF($C115="Per Pupil",$D115*$L$167,IF($C115="Fixed Per Year",$D115,0)))</f>
        <v>0</v>
      </c>
      <c r="M115" s="271"/>
      <c r="N115" s="301">
        <f aca="true" t="shared" si="29" ref="N115:N129">IF($C115="Per Employee",$N$165*$D115,IF($C115="Per Pupil",$D115*$N$167,IF($C115="Fixed Per Year",$D115)))*(1+$F115)^1</f>
        <v>0</v>
      </c>
      <c r="O115" s="271"/>
      <c r="P115" s="301">
        <f aca="true" t="shared" si="30" ref="P115:P129">IF($C115="Per Employee",$P$165*$D115,IF($C115="Per Pupil",$D115*$P$167,IF($C115="Fixed Per Year",$D115)))*(1+$F115)^2</f>
        <v>0</v>
      </c>
      <c r="Q115" s="272"/>
      <c r="R115" s="301">
        <f aca="true" t="shared" si="31" ref="R115:R129">IF($C115="Per Employee",$R$165*$D115,IF($C115="Per Pupil",$D115*$R$167,IF($C115="Fixed Per Year",$D115)))*(1+$F115)^3</f>
        <v>0</v>
      </c>
      <c r="S115" s="262"/>
      <c r="T115" s="301">
        <f aca="true" t="shared" si="32" ref="T115:T129">IF($C115="Per Employee",$T$165*$D115,IF($C115="Per Pupil",$D115*$T$167,IF($C115="Fixed Per Year",$D115)))*(1+$F115)^4</f>
        <v>0</v>
      </c>
    </row>
    <row r="116" spans="1:20" ht="30" thickBot="1">
      <c r="A116" s="166" t="s">
        <v>54</v>
      </c>
      <c r="B116" s="435"/>
      <c r="C116" s="154" t="s">
        <v>94</v>
      </c>
      <c r="D116" s="92">
        <v>600</v>
      </c>
      <c r="E116" s="137" t="s">
        <v>92</v>
      </c>
      <c r="F116" s="95"/>
      <c r="G116" s="435"/>
      <c r="H116" s="566" t="s">
        <v>418</v>
      </c>
      <c r="I116" s="435"/>
      <c r="J116" s="539">
        <v>3500</v>
      </c>
      <c r="K116" s="271"/>
      <c r="L116" s="301">
        <f>50*12</f>
        <v>600</v>
      </c>
      <c r="M116" s="271"/>
      <c r="N116" s="301">
        <f>IF($C116="Per Employee",$N$165*$D116,IF($C116="Per Pupil",$D116*$N$167,IF($C116="Fixed Per Year",$D116)))*(1+$F116)^1</f>
        <v>600</v>
      </c>
      <c r="O116" s="271"/>
      <c r="P116" s="301">
        <f t="shared" si="30"/>
        <v>600</v>
      </c>
      <c r="Q116" s="272"/>
      <c r="R116" s="301">
        <f t="shared" si="31"/>
        <v>600</v>
      </c>
      <c r="S116" s="262"/>
      <c r="T116" s="301">
        <f t="shared" si="32"/>
        <v>600</v>
      </c>
    </row>
    <row r="117" spans="1:20" ht="75" thickBot="1">
      <c r="A117" s="166" t="s">
        <v>55</v>
      </c>
      <c r="B117" s="435"/>
      <c r="C117" s="154" t="s">
        <v>1</v>
      </c>
      <c r="D117" s="92" t="s">
        <v>449</v>
      </c>
      <c r="E117" s="137" t="s">
        <v>92</v>
      </c>
      <c r="F117" s="95"/>
      <c r="G117" s="435"/>
      <c r="H117" s="566" t="s">
        <v>476</v>
      </c>
      <c r="I117" s="435"/>
      <c r="J117" s="539"/>
      <c r="K117" s="271"/>
      <c r="L117" s="301">
        <f>1.5*13525+15*90</f>
        <v>21637.5</v>
      </c>
      <c r="M117" s="271"/>
      <c r="N117" s="301">
        <f>1.5*13525+15*135</f>
        <v>22312.5</v>
      </c>
      <c r="O117" s="271"/>
      <c r="P117" s="301">
        <f>1.5*20801+15*180</f>
        <v>33901.5</v>
      </c>
      <c r="Q117" s="272"/>
      <c r="R117" s="301">
        <f>1.5*20801+15*180</f>
        <v>33901.5</v>
      </c>
      <c r="S117" s="262"/>
      <c r="T117" s="301">
        <f>1.5*20801+15*180</f>
        <v>33901.5</v>
      </c>
    </row>
    <row r="118" spans="1:20" ht="15" thickBot="1">
      <c r="A118" s="166" t="s">
        <v>124</v>
      </c>
      <c r="B118" s="435"/>
      <c r="C118" s="154"/>
      <c r="D118" s="92"/>
      <c r="E118" s="137" t="s">
        <v>92</v>
      </c>
      <c r="F118" s="95"/>
      <c r="G118" s="435"/>
      <c r="H118" s="94" t="s">
        <v>419</v>
      </c>
      <c r="I118" s="435"/>
      <c r="J118" s="539"/>
      <c r="K118" s="271"/>
      <c r="L118" s="301">
        <f t="shared" si="28"/>
        <v>0</v>
      </c>
      <c r="M118" s="271"/>
      <c r="N118" s="301">
        <f t="shared" si="29"/>
        <v>0</v>
      </c>
      <c r="O118" s="271"/>
      <c r="P118" s="301">
        <f t="shared" si="30"/>
        <v>0</v>
      </c>
      <c r="Q118" s="272"/>
      <c r="R118" s="301">
        <f t="shared" si="31"/>
        <v>0</v>
      </c>
      <c r="S118" s="262"/>
      <c r="T118" s="301">
        <f t="shared" si="32"/>
        <v>0</v>
      </c>
    </row>
    <row r="119" spans="1:20" ht="15" thickBot="1">
      <c r="A119" s="166" t="s">
        <v>125</v>
      </c>
      <c r="B119" s="435"/>
      <c r="C119" s="154"/>
      <c r="D119" s="92"/>
      <c r="E119" s="137" t="s">
        <v>92</v>
      </c>
      <c r="F119" s="95"/>
      <c r="G119" s="435"/>
      <c r="H119" s="94"/>
      <c r="I119" s="435"/>
      <c r="J119" s="539"/>
      <c r="K119" s="271"/>
      <c r="L119" s="301">
        <f t="shared" si="28"/>
        <v>0</v>
      </c>
      <c r="M119" s="271"/>
      <c r="N119" s="301">
        <f t="shared" si="29"/>
        <v>0</v>
      </c>
      <c r="O119" s="271"/>
      <c r="P119" s="301">
        <f t="shared" si="30"/>
        <v>0</v>
      </c>
      <c r="Q119" s="272"/>
      <c r="R119" s="301">
        <f t="shared" si="31"/>
        <v>0</v>
      </c>
      <c r="S119" s="262"/>
      <c r="T119" s="301">
        <f t="shared" si="32"/>
        <v>0</v>
      </c>
    </row>
    <row r="120" spans="1:20" ht="45" thickBot="1">
      <c r="A120" s="174" t="s">
        <v>291</v>
      </c>
      <c r="B120" s="435"/>
      <c r="C120" s="154" t="s">
        <v>94</v>
      </c>
      <c r="D120" s="92">
        <v>1000</v>
      </c>
      <c r="E120" s="137" t="s">
        <v>92</v>
      </c>
      <c r="F120" s="95"/>
      <c r="G120" s="435"/>
      <c r="H120" s="94" t="s">
        <v>447</v>
      </c>
      <c r="I120" s="435"/>
      <c r="J120" s="539"/>
      <c r="K120" s="271"/>
      <c r="L120" s="301">
        <f t="shared" si="28"/>
        <v>1000</v>
      </c>
      <c r="M120" s="271"/>
      <c r="N120" s="301">
        <f t="shared" si="29"/>
        <v>1000</v>
      </c>
      <c r="O120" s="271"/>
      <c r="P120" s="301">
        <f t="shared" si="30"/>
        <v>1000</v>
      </c>
      <c r="Q120" s="272"/>
      <c r="R120" s="301">
        <f t="shared" si="31"/>
        <v>1000</v>
      </c>
      <c r="S120" s="262"/>
      <c r="T120" s="301">
        <f t="shared" si="32"/>
        <v>1000</v>
      </c>
    </row>
    <row r="121" spans="1:20" ht="15" thickBot="1">
      <c r="A121" s="166" t="s">
        <v>123</v>
      </c>
      <c r="B121" s="435"/>
      <c r="C121" s="154"/>
      <c r="D121" s="92"/>
      <c r="E121" s="137" t="s">
        <v>92</v>
      </c>
      <c r="F121" s="95"/>
      <c r="G121" s="435"/>
      <c r="H121" s="94"/>
      <c r="I121" s="435"/>
      <c r="J121" s="539"/>
      <c r="K121" s="271"/>
      <c r="L121" s="301">
        <f t="shared" si="28"/>
        <v>0</v>
      </c>
      <c r="M121" s="271"/>
      <c r="N121" s="301">
        <f t="shared" si="29"/>
        <v>0</v>
      </c>
      <c r="O121" s="271"/>
      <c r="P121" s="301">
        <f t="shared" si="30"/>
        <v>0</v>
      </c>
      <c r="Q121" s="272"/>
      <c r="R121" s="301">
        <f t="shared" si="31"/>
        <v>0</v>
      </c>
      <c r="S121" s="262"/>
      <c r="T121" s="301">
        <f t="shared" si="32"/>
        <v>0</v>
      </c>
    </row>
    <row r="122" spans="1:20" ht="15" thickBot="1">
      <c r="A122" s="70"/>
      <c r="B122" s="435"/>
      <c r="C122" s="154"/>
      <c r="D122" s="92"/>
      <c r="E122" s="137" t="s">
        <v>92</v>
      </c>
      <c r="F122" s="95"/>
      <c r="G122" s="435"/>
      <c r="H122" s="94"/>
      <c r="I122" s="435"/>
      <c r="J122" s="539"/>
      <c r="K122" s="271"/>
      <c r="L122" s="301">
        <f t="shared" si="28"/>
        <v>0</v>
      </c>
      <c r="M122" s="271"/>
      <c r="N122" s="301">
        <f t="shared" si="29"/>
        <v>0</v>
      </c>
      <c r="O122" s="271"/>
      <c r="P122" s="301">
        <f t="shared" si="30"/>
        <v>0</v>
      </c>
      <c r="Q122" s="272"/>
      <c r="R122" s="301">
        <f t="shared" si="31"/>
        <v>0</v>
      </c>
      <c r="S122" s="262"/>
      <c r="T122" s="301">
        <f t="shared" si="32"/>
        <v>0</v>
      </c>
    </row>
    <row r="123" spans="1:20" ht="15" thickBot="1">
      <c r="A123" s="70"/>
      <c r="B123" s="435"/>
      <c r="C123" s="154"/>
      <c r="D123" s="92"/>
      <c r="E123" s="137" t="s">
        <v>92</v>
      </c>
      <c r="F123" s="95"/>
      <c r="G123" s="435"/>
      <c r="H123" s="94"/>
      <c r="I123" s="435"/>
      <c r="J123" s="539"/>
      <c r="K123" s="271"/>
      <c r="L123" s="301">
        <f t="shared" si="28"/>
        <v>0</v>
      </c>
      <c r="M123" s="271"/>
      <c r="N123" s="301">
        <f t="shared" si="29"/>
        <v>0</v>
      </c>
      <c r="O123" s="271"/>
      <c r="P123" s="301">
        <f t="shared" si="30"/>
        <v>0</v>
      </c>
      <c r="Q123" s="272"/>
      <c r="R123" s="301">
        <f t="shared" si="31"/>
        <v>0</v>
      </c>
      <c r="S123" s="262"/>
      <c r="T123" s="301">
        <f t="shared" si="32"/>
        <v>0</v>
      </c>
    </row>
    <row r="124" spans="1:20" ht="15" thickBot="1">
      <c r="A124" s="70"/>
      <c r="B124" s="435"/>
      <c r="C124" s="154"/>
      <c r="D124" s="92"/>
      <c r="E124" s="137" t="s">
        <v>92</v>
      </c>
      <c r="F124" s="95"/>
      <c r="G124" s="435"/>
      <c r="H124" s="94"/>
      <c r="I124" s="435"/>
      <c r="J124" s="539"/>
      <c r="K124" s="271"/>
      <c r="L124" s="301">
        <f t="shared" si="28"/>
        <v>0</v>
      </c>
      <c r="M124" s="271"/>
      <c r="N124" s="301">
        <f t="shared" si="29"/>
        <v>0</v>
      </c>
      <c r="O124" s="271"/>
      <c r="P124" s="301">
        <f t="shared" si="30"/>
        <v>0</v>
      </c>
      <c r="Q124" s="272"/>
      <c r="R124" s="301">
        <f t="shared" si="31"/>
        <v>0</v>
      </c>
      <c r="S124" s="262"/>
      <c r="T124" s="301">
        <f t="shared" si="32"/>
        <v>0</v>
      </c>
    </row>
    <row r="125" spans="1:20" ht="15" thickBot="1">
      <c r="A125" s="70"/>
      <c r="B125" s="435"/>
      <c r="C125" s="154"/>
      <c r="D125" s="92"/>
      <c r="E125" s="137" t="s">
        <v>92</v>
      </c>
      <c r="F125" s="95"/>
      <c r="G125" s="435"/>
      <c r="H125" s="94"/>
      <c r="I125" s="435"/>
      <c r="J125" s="539"/>
      <c r="K125" s="271"/>
      <c r="L125" s="301">
        <f t="shared" si="28"/>
        <v>0</v>
      </c>
      <c r="M125" s="271"/>
      <c r="N125" s="301">
        <f t="shared" si="29"/>
        <v>0</v>
      </c>
      <c r="O125" s="271"/>
      <c r="P125" s="301">
        <f t="shared" si="30"/>
        <v>0</v>
      </c>
      <c r="Q125" s="272"/>
      <c r="R125" s="301">
        <f t="shared" si="31"/>
        <v>0</v>
      </c>
      <c r="S125" s="262"/>
      <c r="T125" s="301">
        <f t="shared" si="32"/>
        <v>0</v>
      </c>
    </row>
    <row r="126" spans="1:20" ht="15" thickBot="1">
      <c r="A126" s="70"/>
      <c r="B126" s="435"/>
      <c r="C126" s="154"/>
      <c r="D126" s="92"/>
      <c r="E126" s="137" t="s">
        <v>92</v>
      </c>
      <c r="F126" s="95"/>
      <c r="G126" s="435"/>
      <c r="H126" s="94"/>
      <c r="I126" s="435"/>
      <c r="J126" s="539"/>
      <c r="K126" s="271"/>
      <c r="L126" s="301">
        <f t="shared" si="28"/>
        <v>0</v>
      </c>
      <c r="M126" s="271"/>
      <c r="N126" s="301">
        <f t="shared" si="29"/>
        <v>0</v>
      </c>
      <c r="O126" s="271"/>
      <c r="P126" s="301">
        <f t="shared" si="30"/>
        <v>0</v>
      </c>
      <c r="Q126" s="272"/>
      <c r="R126" s="301">
        <f t="shared" si="31"/>
        <v>0</v>
      </c>
      <c r="S126" s="262"/>
      <c r="T126" s="301">
        <f t="shared" si="32"/>
        <v>0</v>
      </c>
    </row>
    <row r="127" spans="1:20" ht="15" thickBot="1">
      <c r="A127" s="70"/>
      <c r="B127" s="435"/>
      <c r="C127" s="154"/>
      <c r="D127" s="92"/>
      <c r="E127" s="137" t="s">
        <v>92</v>
      </c>
      <c r="F127" s="95"/>
      <c r="G127" s="435"/>
      <c r="H127" s="94"/>
      <c r="I127" s="435"/>
      <c r="J127" s="539"/>
      <c r="K127" s="271"/>
      <c r="L127" s="301">
        <f t="shared" si="28"/>
        <v>0</v>
      </c>
      <c r="M127" s="271"/>
      <c r="N127" s="301">
        <f t="shared" si="29"/>
        <v>0</v>
      </c>
      <c r="O127" s="271"/>
      <c r="P127" s="301">
        <f t="shared" si="30"/>
        <v>0</v>
      </c>
      <c r="Q127" s="272"/>
      <c r="R127" s="301">
        <f t="shared" si="31"/>
        <v>0</v>
      </c>
      <c r="S127" s="262"/>
      <c r="T127" s="301">
        <f t="shared" si="32"/>
        <v>0</v>
      </c>
    </row>
    <row r="128" spans="1:20" ht="15" thickBot="1">
      <c r="A128" s="70"/>
      <c r="B128" s="435"/>
      <c r="C128" s="154"/>
      <c r="D128" s="92"/>
      <c r="E128" s="137" t="s">
        <v>92</v>
      </c>
      <c r="F128" s="95"/>
      <c r="G128" s="435"/>
      <c r="H128" s="94"/>
      <c r="I128" s="435"/>
      <c r="J128" s="539"/>
      <c r="K128" s="271"/>
      <c r="L128" s="301">
        <f t="shared" si="28"/>
        <v>0</v>
      </c>
      <c r="M128" s="271"/>
      <c r="N128" s="301">
        <f t="shared" si="29"/>
        <v>0</v>
      </c>
      <c r="O128" s="271"/>
      <c r="P128" s="301">
        <f t="shared" si="30"/>
        <v>0</v>
      </c>
      <c r="Q128" s="272"/>
      <c r="R128" s="301">
        <f t="shared" si="31"/>
        <v>0</v>
      </c>
      <c r="S128" s="262"/>
      <c r="T128" s="301">
        <f t="shared" si="32"/>
        <v>0</v>
      </c>
    </row>
    <row r="129" spans="1:20" ht="15" thickBot="1">
      <c r="A129" s="70"/>
      <c r="B129" s="435"/>
      <c r="C129" s="299"/>
      <c r="D129" s="300"/>
      <c r="E129" s="137" t="s">
        <v>92</v>
      </c>
      <c r="F129" s="95"/>
      <c r="G129" s="435"/>
      <c r="H129" s="94"/>
      <c r="I129" s="435"/>
      <c r="J129" s="539"/>
      <c r="K129" s="271"/>
      <c r="L129" s="301">
        <f t="shared" si="28"/>
        <v>0</v>
      </c>
      <c r="M129" s="271"/>
      <c r="N129" s="301">
        <f t="shared" si="29"/>
        <v>0</v>
      </c>
      <c r="O129" s="271"/>
      <c r="P129" s="301">
        <f t="shared" si="30"/>
        <v>0</v>
      </c>
      <c r="Q129" s="272"/>
      <c r="R129" s="301">
        <f t="shared" si="31"/>
        <v>0</v>
      </c>
      <c r="S129" s="262"/>
      <c r="T129" s="301">
        <f t="shared" si="32"/>
        <v>0</v>
      </c>
    </row>
    <row r="130" spans="1:20" ht="15" thickBot="1">
      <c r="A130" s="436"/>
      <c r="B130" s="435"/>
      <c r="C130" s="437"/>
      <c r="D130" s="437"/>
      <c r="E130" s="437"/>
      <c r="F130" s="437"/>
      <c r="G130" s="435"/>
      <c r="H130" s="431"/>
      <c r="I130" s="435"/>
      <c r="J130" s="278"/>
      <c r="K130" s="271"/>
      <c r="L130" s="278"/>
      <c r="M130" s="271"/>
      <c r="N130" s="278"/>
      <c r="O130" s="271"/>
      <c r="P130" s="278"/>
      <c r="Q130" s="272"/>
      <c r="R130" s="254"/>
      <c r="S130" s="262"/>
      <c r="T130" s="254"/>
    </row>
    <row r="131" spans="2:20" ht="15" thickBot="1">
      <c r="B131" s="434"/>
      <c r="C131" s="438"/>
      <c r="D131" s="438"/>
      <c r="E131" s="438"/>
      <c r="F131" s="438"/>
      <c r="G131" s="434"/>
      <c r="H131" s="103" t="s">
        <v>12</v>
      </c>
      <c r="I131" s="434"/>
      <c r="J131" s="132">
        <f>SUM(J112:J129)</f>
        <v>3500</v>
      </c>
      <c r="K131" s="98"/>
      <c r="L131" s="132">
        <f>SUM(L112:L129)</f>
        <v>205825</v>
      </c>
      <c r="M131" s="98"/>
      <c r="N131" s="132">
        <f>SUM(N112:N129)</f>
        <v>206500</v>
      </c>
      <c r="O131" s="98"/>
      <c r="P131" s="132">
        <f>SUM(P112:P129)</f>
        <v>316315</v>
      </c>
      <c r="Q131" s="99"/>
      <c r="R131" s="132">
        <f>SUM(R112:R129)</f>
        <v>316315</v>
      </c>
      <c r="S131" s="247"/>
      <c r="T131" s="132">
        <f>SUM(T112:T129)</f>
        <v>316315</v>
      </c>
    </row>
    <row r="132" spans="1:20" ht="15" thickBot="1">
      <c r="A132" s="444"/>
      <c r="B132" s="445"/>
      <c r="C132" s="446"/>
      <c r="D132" s="446"/>
      <c r="E132" s="446"/>
      <c r="F132" s="446"/>
      <c r="G132" s="445"/>
      <c r="H132" s="431"/>
      <c r="I132" s="445"/>
      <c r="J132" s="278"/>
      <c r="K132" s="279"/>
      <c r="L132" s="278"/>
      <c r="M132" s="279"/>
      <c r="N132" s="278"/>
      <c r="O132" s="279"/>
      <c r="P132" s="278"/>
      <c r="Q132" s="280"/>
      <c r="R132" s="254"/>
      <c r="S132" s="256"/>
      <c r="T132" s="254"/>
    </row>
    <row r="133" spans="1:20" ht="18.75" customHeight="1" thickBot="1">
      <c r="A133" s="103" t="s">
        <v>121</v>
      </c>
      <c r="B133" s="434"/>
      <c r="C133" s="154"/>
      <c r="D133" s="92"/>
      <c r="E133" s="137" t="s">
        <v>92</v>
      </c>
      <c r="F133" s="95"/>
      <c r="G133" s="434"/>
      <c r="H133" s="447" t="str">
        <f>A133</f>
        <v>Education Management Organization Fee</v>
      </c>
      <c r="I133" s="434"/>
      <c r="J133" s="542"/>
      <c r="K133" s="98"/>
      <c r="L133" s="448">
        <f>IF($C133="Per Employee",$L$165*$D133,IF($C133="Per Pupil",$D133*$L$167,IF($C133="Fixed Per Year",$D133,0)))</f>
        <v>0</v>
      </c>
      <c r="M133" s="271"/>
      <c r="N133" s="448">
        <f>IF($C133="Per Employee",$N$165*$D133,IF($C133="Per Pupil",$D133*$N$167,IF($C133="Fixed Per Year",$D133)))*(1+$F133)^1</f>
        <v>0</v>
      </c>
      <c r="O133" s="271"/>
      <c r="P133" s="448">
        <f>IF($C133="Per Employee",$P$165*$D133,IF($C133="Per Pupil",$D133*$P$167,IF($C133="Fixed Per Year",$D133)))*(1+$F133)^2</f>
        <v>0</v>
      </c>
      <c r="Q133" s="272"/>
      <c r="R133" s="448">
        <f>IF($C133="Per Employee",$R$165*$D133,IF($C133="Per Pupil",$D133*$R$167,IF($C133="Fixed Per Year",$D133)))*(1+$F133)^3</f>
        <v>0</v>
      </c>
      <c r="S133" s="262"/>
      <c r="T133" s="448">
        <f>IF($C133="Per Employee",$T$165*$D133,IF($C133="Per Pupil",$D133*$T$167,IF($C133="Fixed Per Year",$D133)))*(1+$F133)^4</f>
        <v>0</v>
      </c>
    </row>
    <row r="134" spans="1:20" ht="15" thickBot="1">
      <c r="A134" s="444"/>
      <c r="B134" s="445"/>
      <c r="C134" s="446"/>
      <c r="D134" s="446"/>
      <c r="E134" s="446"/>
      <c r="F134" s="446"/>
      <c r="G134" s="445"/>
      <c r="H134" s="431"/>
      <c r="I134" s="445"/>
      <c r="J134" s="278"/>
      <c r="K134" s="279"/>
      <c r="L134" s="278"/>
      <c r="M134" s="279"/>
      <c r="N134" s="278"/>
      <c r="O134" s="279"/>
      <c r="P134" s="278"/>
      <c r="Q134" s="280"/>
      <c r="R134" s="254"/>
      <c r="S134" s="256"/>
      <c r="T134" s="254"/>
    </row>
    <row r="135" spans="1:20" ht="18.75" customHeight="1" thickBot="1">
      <c r="A135" s="103" t="s">
        <v>127</v>
      </c>
      <c r="B135" s="434"/>
      <c r="C135" s="438"/>
      <c r="D135" s="438"/>
      <c r="E135" s="438"/>
      <c r="F135" s="438"/>
      <c r="G135" s="434"/>
      <c r="H135" s="431"/>
      <c r="I135" s="434"/>
      <c r="J135" s="277"/>
      <c r="K135" s="271"/>
      <c r="L135" s="277"/>
      <c r="M135" s="271"/>
      <c r="N135" s="277"/>
      <c r="O135" s="271"/>
      <c r="P135" s="277"/>
      <c r="Q135" s="272"/>
      <c r="R135" s="40"/>
      <c r="S135" s="262"/>
      <c r="T135" s="40"/>
    </row>
    <row r="136" spans="1:20" ht="15" thickBot="1">
      <c r="A136" s="173" t="s">
        <v>337</v>
      </c>
      <c r="B136" s="435"/>
      <c r="C136" s="154"/>
      <c r="D136" s="92"/>
      <c r="E136" s="137" t="s">
        <v>92</v>
      </c>
      <c r="F136" s="95"/>
      <c r="G136" s="435"/>
      <c r="H136" s="94"/>
      <c r="I136" s="435"/>
      <c r="J136" s="539"/>
      <c r="K136" s="271"/>
      <c r="L136" s="301">
        <f aca="true" t="shared" si="33" ref="L136:L148">IF($C136="Per Employee",$L$165*$D136,IF($C136="Per Pupil",$D136*$L$167,IF($C136="Fixed Per Year",$D136,0)))</f>
        <v>0</v>
      </c>
      <c r="M136" s="271"/>
      <c r="N136" s="301">
        <f aca="true" t="shared" si="34" ref="N136:N148">IF($C136="Per Employee",$N$165*$D136,IF($C136="Per Pupil",$D136*$N$167,IF($C136="Fixed Per Year",$D136)))*(1+$F136)^1</f>
        <v>0</v>
      </c>
      <c r="O136" s="271"/>
      <c r="P136" s="301">
        <f aca="true" t="shared" si="35" ref="P136:P144">IF($C136="Per Employee",$P$165*$D136,IF($C136="Per Pupil",$D136*$P$167,IF($C136="Fixed Per Year",$D136)))*(1+$F136)^2</f>
        <v>0</v>
      </c>
      <c r="Q136" s="272"/>
      <c r="R136" s="301">
        <f aca="true" t="shared" si="36" ref="R136:R144">IF($C136="Per Employee",$R$165*$D136,IF($C136="Per Pupil",$D136*$R$167,IF($C136="Fixed Per Year",$D136)))*(1+$F136)^3</f>
        <v>0</v>
      </c>
      <c r="S136" s="262"/>
      <c r="T136" s="301">
        <f aca="true" t="shared" si="37" ref="T136:T144">IF($C136="Per Employee",$T$165*$D136,IF($C136="Per Pupil",$D136*$T$167,IF($C136="Fixed Per Year",$D136)))*(1+$F136)^4</f>
        <v>0</v>
      </c>
    </row>
    <row r="137" spans="1:20" ht="15" thickBot="1">
      <c r="A137" s="173" t="s">
        <v>34</v>
      </c>
      <c r="B137" s="435"/>
      <c r="C137" s="154"/>
      <c r="D137" s="92"/>
      <c r="E137" s="137" t="s">
        <v>92</v>
      </c>
      <c r="F137" s="95"/>
      <c r="G137" s="435"/>
      <c r="H137" s="94"/>
      <c r="I137" s="435"/>
      <c r="J137" s="539"/>
      <c r="K137" s="271"/>
      <c r="L137" s="301">
        <f t="shared" si="33"/>
        <v>0</v>
      </c>
      <c r="M137" s="271"/>
      <c r="N137" s="301">
        <f t="shared" si="34"/>
        <v>0</v>
      </c>
      <c r="O137" s="271"/>
      <c r="P137" s="301">
        <f t="shared" si="35"/>
        <v>0</v>
      </c>
      <c r="Q137" s="272"/>
      <c r="R137" s="301">
        <f t="shared" si="36"/>
        <v>0</v>
      </c>
      <c r="S137" s="262"/>
      <c r="T137" s="301">
        <f t="shared" si="37"/>
        <v>0</v>
      </c>
    </row>
    <row r="138" spans="1:20" ht="60" thickBot="1">
      <c r="A138" s="173" t="s">
        <v>128</v>
      </c>
      <c r="B138" s="435"/>
      <c r="C138" s="154" t="s">
        <v>1</v>
      </c>
      <c r="D138" s="570" t="s">
        <v>434</v>
      </c>
      <c r="E138" s="137" t="s">
        <v>92</v>
      </c>
      <c r="F138" s="95"/>
      <c r="G138" s="435"/>
      <c r="H138" s="566" t="s">
        <v>472</v>
      </c>
      <c r="I138" s="435"/>
      <c r="J138" s="539"/>
      <c r="K138" s="271"/>
      <c r="L138" s="301">
        <f>0.02*L28</f>
        <v>22804.464</v>
      </c>
      <c r="M138" s="271"/>
      <c r="N138" s="301">
        <f>0.02*N28</f>
        <v>31014.426000000003</v>
      </c>
      <c r="O138" s="271"/>
      <c r="P138" s="301">
        <f>0.02*P28</f>
        <v>42025.248</v>
      </c>
      <c r="Q138" s="272"/>
      <c r="R138" s="301">
        <f>0.02*R28</f>
        <v>42025.248</v>
      </c>
      <c r="S138" s="262"/>
      <c r="T138" s="301">
        <f>0.02*T28</f>
        <v>42025.248</v>
      </c>
    </row>
    <row r="139" spans="1:20" ht="15" thickBot="1">
      <c r="A139" s="172" t="s">
        <v>292</v>
      </c>
      <c r="B139" s="435"/>
      <c r="C139" s="154"/>
      <c r="D139" s="92"/>
      <c r="E139" s="137" t="s">
        <v>92</v>
      </c>
      <c r="F139" s="95"/>
      <c r="G139" s="435"/>
      <c r="H139" s="94" t="s">
        <v>426</v>
      </c>
      <c r="I139" s="435"/>
      <c r="J139" s="539"/>
      <c r="K139" s="271"/>
      <c r="L139" s="301">
        <f t="shared" si="33"/>
        <v>0</v>
      </c>
      <c r="M139" s="271"/>
      <c r="N139" s="301">
        <f t="shared" si="34"/>
        <v>0</v>
      </c>
      <c r="O139" s="271"/>
      <c r="P139" s="301">
        <f t="shared" si="35"/>
        <v>0</v>
      </c>
      <c r="Q139" s="272"/>
      <c r="R139" s="301">
        <f t="shared" si="36"/>
        <v>0</v>
      </c>
      <c r="S139" s="262"/>
      <c r="T139" s="301">
        <f t="shared" si="37"/>
        <v>0</v>
      </c>
    </row>
    <row r="140" spans="1:20" ht="16.5" customHeight="1" hidden="1" thickBot="1">
      <c r="A140" s="173" t="s">
        <v>14</v>
      </c>
      <c r="B140" s="435"/>
      <c r="C140" s="154"/>
      <c r="D140" s="92"/>
      <c r="E140" s="137" t="s">
        <v>92</v>
      </c>
      <c r="F140" s="95"/>
      <c r="G140" s="435"/>
      <c r="H140" s="94"/>
      <c r="I140" s="435"/>
      <c r="J140" s="539"/>
      <c r="K140" s="271"/>
      <c r="L140" s="301">
        <f t="shared" si="33"/>
        <v>0</v>
      </c>
      <c r="M140" s="271"/>
      <c r="N140" s="301">
        <f t="shared" si="34"/>
        <v>0</v>
      </c>
      <c r="O140" s="271"/>
      <c r="P140" s="301">
        <f t="shared" si="35"/>
        <v>0</v>
      </c>
      <c r="Q140" s="272"/>
      <c r="R140" s="301">
        <f t="shared" si="36"/>
        <v>0</v>
      </c>
      <c r="S140" s="262"/>
      <c r="T140" s="301">
        <f t="shared" si="37"/>
        <v>0</v>
      </c>
    </row>
    <row r="141" spans="1:20" ht="15" thickBot="1">
      <c r="A141" s="172" t="s">
        <v>293</v>
      </c>
      <c r="B141" s="435"/>
      <c r="C141" s="154" t="s">
        <v>1</v>
      </c>
      <c r="D141" s="92"/>
      <c r="E141" s="137" t="s">
        <v>92</v>
      </c>
      <c r="F141" s="95"/>
      <c r="G141" s="435"/>
      <c r="H141" s="94" t="s">
        <v>427</v>
      </c>
      <c r="I141" s="435"/>
      <c r="J141" s="539"/>
      <c r="K141" s="271"/>
      <c r="L141" s="301">
        <f t="shared" si="33"/>
        <v>0</v>
      </c>
      <c r="M141" s="271"/>
      <c r="N141" s="301">
        <f t="shared" si="34"/>
        <v>0</v>
      </c>
      <c r="O141" s="271"/>
      <c r="P141" s="301">
        <f t="shared" si="35"/>
        <v>0</v>
      </c>
      <c r="Q141" s="272"/>
      <c r="R141" s="301">
        <f t="shared" si="36"/>
        <v>0</v>
      </c>
      <c r="S141" s="262"/>
      <c r="T141" s="301">
        <f t="shared" si="37"/>
        <v>0</v>
      </c>
    </row>
    <row r="142" spans="1:20" ht="15" thickBot="1">
      <c r="A142" s="172" t="s">
        <v>294</v>
      </c>
      <c r="B142" s="435"/>
      <c r="C142" s="154"/>
      <c r="D142" s="92"/>
      <c r="E142" s="137" t="s">
        <v>92</v>
      </c>
      <c r="F142" s="95"/>
      <c r="G142" s="435"/>
      <c r="H142" s="94" t="s">
        <v>428</v>
      </c>
      <c r="I142" s="435"/>
      <c r="J142" s="539"/>
      <c r="K142" s="271"/>
      <c r="L142" s="301">
        <f t="shared" si="33"/>
        <v>0</v>
      </c>
      <c r="M142" s="271"/>
      <c r="N142" s="301">
        <f t="shared" si="34"/>
        <v>0</v>
      </c>
      <c r="O142" s="271"/>
      <c r="P142" s="301">
        <f t="shared" si="35"/>
        <v>0</v>
      </c>
      <c r="Q142" s="272"/>
      <c r="R142" s="301">
        <f t="shared" si="36"/>
        <v>0</v>
      </c>
      <c r="S142" s="262"/>
      <c r="T142" s="301">
        <f t="shared" si="37"/>
        <v>0</v>
      </c>
    </row>
    <row r="143" spans="1:20" ht="15" thickBot="1">
      <c r="A143" s="172" t="s">
        <v>295</v>
      </c>
      <c r="B143" s="435"/>
      <c r="C143" s="154" t="s">
        <v>1</v>
      </c>
      <c r="D143" s="92"/>
      <c r="E143" s="137" t="s">
        <v>92</v>
      </c>
      <c r="F143" s="95"/>
      <c r="G143" s="435"/>
      <c r="H143" s="94" t="s">
        <v>429</v>
      </c>
      <c r="I143" s="435"/>
      <c r="J143" s="539"/>
      <c r="K143" s="271"/>
      <c r="L143" s="301">
        <f t="shared" si="33"/>
        <v>0</v>
      </c>
      <c r="M143" s="271"/>
      <c r="N143" s="301">
        <f t="shared" si="34"/>
        <v>0</v>
      </c>
      <c r="O143" s="271"/>
      <c r="P143" s="301">
        <f t="shared" si="35"/>
        <v>0</v>
      </c>
      <c r="Q143" s="272"/>
      <c r="R143" s="301">
        <f t="shared" si="36"/>
        <v>0</v>
      </c>
      <c r="S143" s="262"/>
      <c r="T143" s="301">
        <f t="shared" si="37"/>
        <v>0</v>
      </c>
    </row>
    <row r="144" spans="1:20" ht="15" thickBot="1">
      <c r="A144" s="172" t="s">
        <v>296</v>
      </c>
      <c r="B144" s="435"/>
      <c r="C144" s="154"/>
      <c r="D144" s="92"/>
      <c r="E144" s="137" t="s">
        <v>92</v>
      </c>
      <c r="F144" s="95"/>
      <c r="G144" s="435"/>
      <c r="H144" s="94"/>
      <c r="I144" s="435"/>
      <c r="J144" s="539"/>
      <c r="K144" s="271"/>
      <c r="L144" s="301">
        <f t="shared" si="33"/>
        <v>0</v>
      </c>
      <c r="M144" s="271"/>
      <c r="N144" s="301">
        <f t="shared" si="34"/>
        <v>0</v>
      </c>
      <c r="O144" s="271"/>
      <c r="P144" s="301">
        <f t="shared" si="35"/>
        <v>0</v>
      </c>
      <c r="Q144" s="272"/>
      <c r="R144" s="301">
        <f t="shared" si="36"/>
        <v>0</v>
      </c>
      <c r="S144" s="262"/>
      <c r="T144" s="301">
        <f t="shared" si="37"/>
        <v>0</v>
      </c>
    </row>
    <row r="145" spans="1:20" ht="45" thickBot="1">
      <c r="A145" s="564" t="s">
        <v>422</v>
      </c>
      <c r="B145" s="435"/>
      <c r="C145" s="154" t="s">
        <v>94</v>
      </c>
      <c r="D145" s="92">
        <v>3500</v>
      </c>
      <c r="E145" s="137" t="s">
        <v>92</v>
      </c>
      <c r="F145" s="95"/>
      <c r="G145" s="435"/>
      <c r="H145" s="94" t="s">
        <v>497</v>
      </c>
      <c r="I145" s="435"/>
      <c r="J145" s="539">
        <v>850</v>
      </c>
      <c r="K145" s="271"/>
      <c r="L145" s="301">
        <f t="shared" si="33"/>
        <v>3500</v>
      </c>
      <c r="M145" s="271"/>
      <c r="N145" s="301">
        <f t="shared" si="34"/>
        <v>3500</v>
      </c>
      <c r="O145" s="271"/>
      <c r="P145" s="301">
        <v>7000</v>
      </c>
      <c r="Q145" s="272"/>
      <c r="R145" s="301">
        <v>7000</v>
      </c>
      <c r="S145" s="262"/>
      <c r="T145" s="301">
        <v>7000</v>
      </c>
    </row>
    <row r="146" spans="1:20" ht="45" thickBot="1">
      <c r="A146" s="513" t="s">
        <v>425</v>
      </c>
      <c r="B146" s="435"/>
      <c r="C146" s="154" t="s">
        <v>94</v>
      </c>
      <c r="D146" s="92">
        <v>5000</v>
      </c>
      <c r="E146" s="137" t="s">
        <v>92</v>
      </c>
      <c r="F146" s="95"/>
      <c r="G146" s="435"/>
      <c r="H146" s="94" t="s">
        <v>498</v>
      </c>
      <c r="I146" s="435"/>
      <c r="J146" s="539">
        <v>1000</v>
      </c>
      <c r="K146" s="271"/>
      <c r="L146" s="301">
        <f t="shared" si="33"/>
        <v>5000</v>
      </c>
      <c r="M146" s="271"/>
      <c r="N146" s="301">
        <f t="shared" si="34"/>
        <v>5000</v>
      </c>
      <c r="O146" s="271"/>
      <c r="P146" s="301">
        <v>10000</v>
      </c>
      <c r="Q146" s="272"/>
      <c r="R146" s="301">
        <v>10000</v>
      </c>
      <c r="S146" s="262"/>
      <c r="T146" s="301">
        <v>5000</v>
      </c>
    </row>
    <row r="147" spans="1:20" ht="45" thickBot="1">
      <c r="A147" s="513" t="s">
        <v>423</v>
      </c>
      <c r="B147" s="435"/>
      <c r="C147" s="154" t="s">
        <v>94</v>
      </c>
      <c r="D147" s="92">
        <v>3800</v>
      </c>
      <c r="E147" s="137" t="s">
        <v>92</v>
      </c>
      <c r="F147" s="95"/>
      <c r="G147" s="435"/>
      <c r="H147" s="94" t="s">
        <v>499</v>
      </c>
      <c r="I147" s="435"/>
      <c r="J147" s="539">
        <v>900</v>
      </c>
      <c r="K147" s="271"/>
      <c r="L147" s="301">
        <f t="shared" si="33"/>
        <v>3800</v>
      </c>
      <c r="M147" s="271"/>
      <c r="N147" s="301">
        <f t="shared" si="34"/>
        <v>3800</v>
      </c>
      <c r="O147" s="271"/>
      <c r="P147" s="301">
        <v>7600</v>
      </c>
      <c r="Q147" s="272"/>
      <c r="R147" s="301">
        <v>7600</v>
      </c>
      <c r="S147" s="262"/>
      <c r="T147" s="301">
        <v>7000</v>
      </c>
    </row>
    <row r="148" spans="1:20" ht="45" thickBot="1">
      <c r="A148" s="564" t="s">
        <v>424</v>
      </c>
      <c r="B148" s="435"/>
      <c r="C148" s="154" t="s">
        <v>94</v>
      </c>
      <c r="D148" s="92">
        <v>5500</v>
      </c>
      <c r="E148" s="137" t="s">
        <v>92</v>
      </c>
      <c r="F148" s="95"/>
      <c r="G148" s="435"/>
      <c r="H148" s="94" t="s">
        <v>500</v>
      </c>
      <c r="I148" s="435"/>
      <c r="J148" s="539">
        <v>1900</v>
      </c>
      <c r="K148" s="271"/>
      <c r="L148" s="301">
        <f t="shared" si="33"/>
        <v>5500</v>
      </c>
      <c r="M148" s="271"/>
      <c r="N148" s="301">
        <f t="shared" si="34"/>
        <v>5500</v>
      </c>
      <c r="O148" s="271"/>
      <c r="P148" s="301">
        <v>11000</v>
      </c>
      <c r="Q148" s="272"/>
      <c r="R148" s="301">
        <v>11000</v>
      </c>
      <c r="S148" s="262"/>
      <c r="T148" s="301">
        <v>11000</v>
      </c>
    </row>
    <row r="149" spans="1:20" ht="15" thickBot="1">
      <c r="A149" s="436"/>
      <c r="B149" s="435"/>
      <c r="C149" s="437"/>
      <c r="D149" s="437"/>
      <c r="E149" s="437"/>
      <c r="F149" s="437"/>
      <c r="G149" s="435"/>
      <c r="H149" s="431"/>
      <c r="I149" s="435"/>
      <c r="J149" s="278"/>
      <c r="K149" s="271"/>
      <c r="L149" s="278"/>
      <c r="M149" s="271"/>
      <c r="N149" s="278"/>
      <c r="O149" s="271"/>
      <c r="P149" s="278"/>
      <c r="Q149" s="272"/>
      <c r="R149" s="254"/>
      <c r="S149" s="262"/>
      <c r="T149" s="254"/>
    </row>
    <row r="150" spans="2:20" ht="15" thickBot="1">
      <c r="B150" s="434"/>
      <c r="C150" s="438"/>
      <c r="D150" s="438"/>
      <c r="E150" s="438"/>
      <c r="F150" s="438"/>
      <c r="G150" s="434"/>
      <c r="H150" s="103" t="s">
        <v>15</v>
      </c>
      <c r="I150" s="434"/>
      <c r="J150" s="132">
        <f>SUM(J136:J148)</f>
        <v>4650</v>
      </c>
      <c r="K150" s="98"/>
      <c r="L150" s="132">
        <f>SUM(L136:L148)</f>
        <v>40604.464</v>
      </c>
      <c r="M150" s="98"/>
      <c r="N150" s="132">
        <f>SUM(N136:N148)</f>
        <v>48814.42600000001</v>
      </c>
      <c r="O150" s="98"/>
      <c r="P150" s="132">
        <f>SUM(P136:P148)</f>
        <v>77625.24799999999</v>
      </c>
      <c r="Q150" s="99"/>
      <c r="R150" s="132">
        <f>SUM(R136:R148)</f>
        <v>77625.24799999999</v>
      </c>
      <c r="S150" s="247"/>
      <c r="T150" s="132">
        <f>SUM(T136:T148)</f>
        <v>72025.24799999999</v>
      </c>
    </row>
    <row r="151" spans="2:20" ht="15" thickBot="1">
      <c r="B151" s="449"/>
      <c r="C151" s="450"/>
      <c r="D151" s="450"/>
      <c r="E151" s="450"/>
      <c r="F151" s="450"/>
      <c r="G151" s="449"/>
      <c r="H151" s="451"/>
      <c r="I151" s="449"/>
      <c r="J151" s="452"/>
      <c r="K151" s="453"/>
      <c r="L151" s="452"/>
      <c r="M151" s="453"/>
      <c r="N151" s="452"/>
      <c r="O151" s="453"/>
      <c r="P151" s="452"/>
      <c r="Q151" s="267"/>
      <c r="R151" s="254"/>
      <c r="S151" s="256"/>
      <c r="T151" s="254"/>
    </row>
    <row r="152" spans="2:20" ht="15" thickBot="1">
      <c r="B152" s="454"/>
      <c r="C152" s="455"/>
      <c r="D152" s="455"/>
      <c r="E152" s="455"/>
      <c r="F152" s="455"/>
      <c r="G152" s="454"/>
      <c r="H152" s="456" t="s">
        <v>16</v>
      </c>
      <c r="I152" s="454"/>
      <c r="J152" s="132">
        <f>J57+J85+J109+J131+J133+J150</f>
        <v>165553.75</v>
      </c>
      <c r="K152" s="249"/>
      <c r="L152" s="132">
        <f>L57+L85+L109+L131+L133+L150</f>
        <v>1069553.615</v>
      </c>
      <c r="M152" s="249"/>
      <c r="N152" s="132">
        <f>N57+N85+N109+N131+N133+N150</f>
        <v>1477398.6555</v>
      </c>
      <c r="O152" s="249"/>
      <c r="P152" s="132">
        <f>P57+P85+P109+P131+P133+P150</f>
        <v>2016516.7946799998</v>
      </c>
      <c r="Q152" s="250"/>
      <c r="R152" s="132">
        <f>R57+R85+R109+R131+R133+R150</f>
        <v>2031967.4335736001</v>
      </c>
      <c r="S152" s="251"/>
      <c r="T152" s="132">
        <f>T57+T85+T109+T131+T133+T150</f>
        <v>2053704.085245072</v>
      </c>
    </row>
    <row r="153" spans="1:20" ht="15" thickBot="1">
      <c r="A153" s="451"/>
      <c r="B153" s="449"/>
      <c r="C153" s="450"/>
      <c r="D153" s="450"/>
      <c r="E153" s="450"/>
      <c r="F153" s="450"/>
      <c r="G153" s="449"/>
      <c r="H153" s="431"/>
      <c r="I153" s="449"/>
      <c r="J153" s="452"/>
      <c r="K153" s="453"/>
      <c r="L153" s="452"/>
      <c r="M153" s="453"/>
      <c r="N153" s="452"/>
      <c r="O153" s="453"/>
      <c r="P153" s="452"/>
      <c r="Q153" s="267"/>
      <c r="R153" s="254"/>
      <c r="S153" s="256"/>
      <c r="T153" s="254"/>
    </row>
    <row r="154" spans="2:20" ht="15" thickBot="1">
      <c r="B154" s="108"/>
      <c r="C154" s="108"/>
      <c r="D154" s="108"/>
      <c r="E154" s="108"/>
      <c r="F154" s="108"/>
      <c r="G154" s="108"/>
      <c r="H154" s="109" t="s">
        <v>21</v>
      </c>
      <c r="I154" s="457"/>
      <c r="J154" s="252">
        <f>J28-J152</f>
        <v>84446.25</v>
      </c>
      <c r="K154" s="253"/>
      <c r="L154" s="252">
        <f>L28-L152</f>
        <v>70669.58499999996</v>
      </c>
      <c r="M154" s="253"/>
      <c r="N154" s="252">
        <f>N28-N152</f>
        <v>73322.64449999994</v>
      </c>
      <c r="O154" s="249"/>
      <c r="P154" s="252">
        <f>P28-P152</f>
        <v>84745.60532000009</v>
      </c>
      <c r="Q154" s="250"/>
      <c r="R154" s="252">
        <f>R28-R152</f>
        <v>69294.96642639977</v>
      </c>
      <c r="S154" s="298"/>
      <c r="T154" s="252">
        <f>T28-T152</f>
        <v>47558.314754928</v>
      </c>
    </row>
    <row r="155" spans="1:20" ht="15" thickBot="1">
      <c r="A155" s="458"/>
      <c r="B155" s="254"/>
      <c r="C155" s="450"/>
      <c r="D155" s="450"/>
      <c r="E155" s="450"/>
      <c r="F155" s="450"/>
      <c r="G155" s="254"/>
      <c r="H155" s="459"/>
      <c r="I155" s="254"/>
      <c r="J155" s="254"/>
      <c r="K155" s="254"/>
      <c r="L155" s="254"/>
      <c r="M155" s="254"/>
      <c r="N155" s="254"/>
      <c r="O155" s="254"/>
      <c r="P155" s="254"/>
      <c r="Q155" s="255"/>
      <c r="R155" s="254"/>
      <c r="S155" s="256"/>
      <c r="T155" s="254"/>
    </row>
    <row r="156" spans="1:20" ht="15" thickBot="1">
      <c r="A156" s="458"/>
      <c r="B156" s="254"/>
      <c r="C156" s="450"/>
      <c r="D156" s="450"/>
      <c r="E156" s="450"/>
      <c r="F156" s="450"/>
      <c r="G156" s="254"/>
      <c r="H156" s="460" t="s">
        <v>192</v>
      </c>
      <c r="I156" s="254"/>
      <c r="J156" s="131">
        <f>0</f>
        <v>0</v>
      </c>
      <c r="K156" s="254"/>
      <c r="L156" s="133">
        <f>J158</f>
        <v>84446.25</v>
      </c>
      <c r="M156" s="257"/>
      <c r="N156" s="133">
        <f>L158</f>
        <v>155115.83499999996</v>
      </c>
      <c r="O156" s="257"/>
      <c r="P156" s="133">
        <f>N158</f>
        <v>228438.4794999999</v>
      </c>
      <c r="Q156" s="258"/>
      <c r="R156" s="133">
        <f>P158</f>
        <v>313184.08482</v>
      </c>
      <c r="S156" s="258"/>
      <c r="T156" s="133">
        <f>R158</f>
        <v>382479.05124639976</v>
      </c>
    </row>
    <row r="157" spans="1:20" ht="15" thickBot="1">
      <c r="A157" s="38"/>
      <c r="B157" s="39"/>
      <c r="D157" s="82"/>
      <c r="E157" s="82"/>
      <c r="F157" s="82"/>
      <c r="G157" s="39"/>
      <c r="H157" s="461" t="s">
        <v>193</v>
      </c>
      <c r="I157" s="39"/>
      <c r="J157" s="133">
        <f>J154</f>
        <v>84446.25</v>
      </c>
      <c r="K157" s="40"/>
      <c r="L157" s="133">
        <f>L154</f>
        <v>70669.58499999996</v>
      </c>
      <c r="M157" s="146"/>
      <c r="N157" s="133">
        <f>N154</f>
        <v>73322.64449999994</v>
      </c>
      <c r="O157" s="146"/>
      <c r="P157" s="133">
        <f>P154</f>
        <v>84745.60532000009</v>
      </c>
      <c r="Q157" s="147"/>
      <c r="R157" s="133">
        <f>R154</f>
        <v>69294.96642639977</v>
      </c>
      <c r="S157" s="147"/>
      <c r="T157" s="133">
        <f>T154</f>
        <v>47558.314754928</v>
      </c>
    </row>
    <row r="158" spans="1:20" ht="15" thickBot="1">
      <c r="A158" s="38"/>
      <c r="B158" s="39"/>
      <c r="D158" s="82"/>
      <c r="E158" s="82"/>
      <c r="F158" s="82"/>
      <c r="G158" s="39"/>
      <c r="H158" s="118" t="s">
        <v>194</v>
      </c>
      <c r="I158" s="39"/>
      <c r="J158" s="133">
        <f>J156+J157</f>
        <v>84446.25</v>
      </c>
      <c r="K158" s="39"/>
      <c r="L158" s="133">
        <f>L156+L157</f>
        <v>155115.83499999996</v>
      </c>
      <c r="M158" s="259"/>
      <c r="N158" s="133">
        <f>N156+N157</f>
        <v>228438.4794999999</v>
      </c>
      <c r="O158" s="259"/>
      <c r="P158" s="133">
        <f>P156+P157</f>
        <v>313184.08482</v>
      </c>
      <c r="Q158" s="260"/>
      <c r="R158" s="133">
        <f>R156+R157</f>
        <v>382479.05124639976</v>
      </c>
      <c r="S158" s="147"/>
      <c r="T158" s="133">
        <f>T156+T157</f>
        <v>430037.36600132775</v>
      </c>
    </row>
    <row r="159" spans="1:19" ht="15">
      <c r="A159" s="38"/>
      <c r="B159" s="38"/>
      <c r="D159" s="462"/>
      <c r="E159" s="462"/>
      <c r="F159" s="462"/>
      <c r="G159" s="38"/>
      <c r="H159" s="38"/>
      <c r="I159" s="38"/>
      <c r="J159" s="261"/>
      <c r="K159" s="38"/>
      <c r="L159" s="261"/>
      <c r="M159" s="38"/>
      <c r="N159" s="261"/>
      <c r="O159" s="38"/>
      <c r="P159" s="261"/>
      <c r="Q159" s="247"/>
      <c r="R159" s="261"/>
      <c r="S159" s="262"/>
    </row>
    <row r="160" spans="1:19" ht="15">
      <c r="A160" s="38"/>
      <c r="B160" s="38"/>
      <c r="D160" s="462"/>
      <c r="E160" s="462"/>
      <c r="F160" s="462"/>
      <c r="G160" s="38"/>
      <c r="H160" s="38"/>
      <c r="I160" s="38"/>
      <c r="J160" s="261"/>
      <c r="K160" s="38"/>
      <c r="L160" s="261"/>
      <c r="M160" s="38"/>
      <c r="N160" s="261"/>
      <c r="O160" s="38"/>
      <c r="P160" s="261"/>
      <c r="Q160" s="247"/>
      <c r="R160" s="261"/>
      <c r="S160" s="262"/>
    </row>
    <row r="161" spans="1:19" ht="15">
      <c r="A161" s="38"/>
      <c r="B161" s="38"/>
      <c r="D161" s="462"/>
      <c r="E161" s="462"/>
      <c r="F161" s="462"/>
      <c r="G161" s="38"/>
      <c r="H161" s="38"/>
      <c r="I161" s="38"/>
      <c r="J161" s="261"/>
      <c r="K161" s="38"/>
      <c r="L161" s="261"/>
      <c r="M161" s="38"/>
      <c r="N161" s="261"/>
      <c r="O161" s="38"/>
      <c r="P161" s="261"/>
      <c r="Q161" s="247"/>
      <c r="R161" s="261"/>
      <c r="S161" s="262"/>
    </row>
    <row r="162" spans="4:6" ht="13.5" thickBot="1">
      <c r="D162" s="242"/>
      <c r="E162" s="242"/>
      <c r="F162" s="242"/>
    </row>
    <row r="163" spans="8:20" ht="13.5" thickBot="1">
      <c r="H163" s="463"/>
      <c r="I163" s="463"/>
      <c r="J163" s="690" t="s">
        <v>155</v>
      </c>
      <c r="K163" s="691"/>
      <c r="L163" s="691"/>
      <c r="M163" s="691"/>
      <c r="N163" s="691"/>
      <c r="O163" s="691"/>
      <c r="P163" s="691"/>
      <c r="Q163" s="691"/>
      <c r="R163" s="691"/>
      <c r="S163" s="691"/>
      <c r="T163" s="692"/>
    </row>
    <row r="164" spans="8:20" ht="17.25" customHeight="1" thickBot="1">
      <c r="H164" s="464"/>
      <c r="I164" s="464"/>
      <c r="J164" s="113" t="s">
        <v>57</v>
      </c>
      <c r="K164" s="465"/>
      <c r="L164" s="117">
        <f>L9</f>
        <v>2022</v>
      </c>
      <c r="M164" s="281"/>
      <c r="N164" s="117">
        <f>N9</f>
        <v>2023</v>
      </c>
      <c r="O164" s="281"/>
      <c r="P164" s="117">
        <f>P9</f>
        <v>2024</v>
      </c>
      <c r="Q164" s="281"/>
      <c r="R164" s="117">
        <f>R9</f>
        <v>2025</v>
      </c>
      <c r="S164" s="281"/>
      <c r="T164" s="117">
        <f>T9</f>
        <v>2026</v>
      </c>
    </row>
    <row r="165" spans="8:20" ht="40.5" customHeight="1" thickBot="1">
      <c r="H165" s="69"/>
      <c r="I165" s="69"/>
      <c r="J165" s="113" t="s">
        <v>68</v>
      </c>
      <c r="K165" s="465"/>
      <c r="L165" s="375">
        <f>'Salaries - Year 1'!B74</f>
        <v>9</v>
      </c>
      <c r="M165" s="465"/>
      <c r="N165" s="375">
        <f>'Salaries - Year 2'!B74</f>
        <v>14</v>
      </c>
      <c r="O165" s="465"/>
      <c r="P165" s="375">
        <f>'Salaries - Year 3'!B74</f>
        <v>19</v>
      </c>
      <c r="Q165" s="465"/>
      <c r="R165" s="375">
        <f>'Salaries - Year 4'!B74</f>
        <v>19</v>
      </c>
      <c r="S165" s="465"/>
      <c r="T165" s="375">
        <f>'Salaries - Year 5'!B74</f>
        <v>19</v>
      </c>
    </row>
    <row r="166" spans="8:20" ht="40.5" customHeight="1" thickBot="1">
      <c r="H166" s="69"/>
      <c r="I166" s="69"/>
      <c r="J166" s="113" t="s">
        <v>69</v>
      </c>
      <c r="K166" s="465"/>
      <c r="L166" s="240">
        <f>'Salaries - Year 1'!B62</f>
        <v>487500</v>
      </c>
      <c r="M166" s="465"/>
      <c r="N166" s="240">
        <f>'Salaries - Year 2'!B62</f>
        <v>786140</v>
      </c>
      <c r="O166" s="465"/>
      <c r="P166" s="240">
        <f>'Salaries - Year 3'!B62</f>
        <v>1090014</v>
      </c>
      <c r="Q166" s="465"/>
      <c r="R166" s="240">
        <f>'Salaries - Year 4'!B62</f>
        <v>1111814.28</v>
      </c>
      <c r="S166" s="465"/>
      <c r="T166" s="240">
        <f>'Salaries - Year 5'!B62</f>
        <v>1134050.5656</v>
      </c>
    </row>
    <row r="167" spans="8:20" ht="38.25" customHeight="1" thickBot="1">
      <c r="H167" s="69"/>
      <c r="I167" s="69"/>
      <c r="J167" s="113" t="s">
        <v>129</v>
      </c>
      <c r="K167" s="283"/>
      <c r="L167" s="140">
        <f>'Revenues-Federal &amp; State '!E92</f>
        <v>90</v>
      </c>
      <c r="M167" s="283"/>
      <c r="N167" s="140">
        <f>'Revenues-Federal &amp; State '!G92</f>
        <v>135</v>
      </c>
      <c r="O167" s="283"/>
      <c r="P167" s="140">
        <f>'Revenues-Federal &amp; State '!I92</f>
        <v>180</v>
      </c>
      <c r="Q167" s="283"/>
      <c r="R167" s="140">
        <f>'Revenues-Federal &amp; State '!K92</f>
        <v>180</v>
      </c>
      <c r="S167" s="283"/>
      <c r="T167" s="140">
        <f>'Revenues-Federal &amp; State '!M92</f>
        <v>180</v>
      </c>
    </row>
    <row r="168" spans="8:9" ht="12.75" customHeight="1" hidden="1">
      <c r="H168" s="69"/>
      <c r="I168" s="69"/>
    </row>
    <row r="169" ht="12.75" customHeight="1" hidden="1"/>
    <row r="170" ht="12.75" customHeight="1" hidden="1">
      <c r="C170" s="242">
        <v>2018</v>
      </c>
    </row>
    <row r="171" ht="12.75" customHeight="1" hidden="1">
      <c r="C171" s="242"/>
    </row>
    <row r="172" ht="12.75" customHeight="1" hidden="1"/>
    <row r="173" ht="12.75" customHeight="1" hidden="1"/>
    <row r="174" ht="15.75" customHeight="1" hidden="1">
      <c r="C174" s="82" t="s">
        <v>64</v>
      </c>
    </row>
    <row r="175" ht="15.75" customHeight="1" hidden="1">
      <c r="C175" s="82" t="s">
        <v>67</v>
      </c>
    </row>
    <row r="176" ht="15.75" customHeight="1" hidden="1">
      <c r="C176" s="82"/>
    </row>
    <row r="177" ht="15.75" customHeight="1" hidden="1">
      <c r="C177" s="82"/>
    </row>
    <row r="178" ht="15.75" customHeight="1" hidden="1">
      <c r="C178" s="462"/>
    </row>
    <row r="179" ht="15.75" customHeight="1" hidden="1">
      <c r="C179" s="462" t="s">
        <v>94</v>
      </c>
    </row>
    <row r="180" ht="15.75" customHeight="1" hidden="1">
      <c r="C180" s="462" t="s">
        <v>66</v>
      </c>
    </row>
    <row r="181" ht="12.75" customHeight="1" hidden="1">
      <c r="C181" s="242" t="s">
        <v>65</v>
      </c>
    </row>
    <row r="182" ht="12.75" customHeight="1" hidden="1">
      <c r="C182" s="242" t="s">
        <v>1</v>
      </c>
    </row>
    <row r="183" ht="12.75" customHeight="1" hidden="1"/>
    <row r="184" ht="12.75" customHeight="1" hidden="1"/>
    <row r="185" ht="12.75" customHeight="1" hidden="1">
      <c r="C185" s="242" t="s">
        <v>94</v>
      </c>
    </row>
    <row r="186" ht="12.75" customHeight="1" hidden="1">
      <c r="C186" s="242" t="s">
        <v>67</v>
      </c>
    </row>
    <row r="187" ht="12.75" customHeight="1" hidden="1">
      <c r="C187" s="242" t="s">
        <v>65</v>
      </c>
    </row>
    <row r="188" ht="12.75" customHeight="1" hidden="1">
      <c r="C188" s="242" t="s">
        <v>1</v>
      </c>
    </row>
    <row r="189" ht="12.75" customHeight="1" hidden="1"/>
    <row r="190" ht="12.75" customHeight="1" hidden="1"/>
    <row r="191" ht="12.75" customHeight="1" hidden="1">
      <c r="C191" s="242" t="s">
        <v>0</v>
      </c>
    </row>
    <row r="192" ht="12.75" customHeight="1" hidden="1">
      <c r="C192" s="242" t="s">
        <v>191</v>
      </c>
    </row>
    <row r="193" ht="12.75" customHeight="1" hidden="1"/>
    <row r="194" ht="12.75" customHeight="1" hidden="1"/>
  </sheetData>
  <sheetProtection formatColumns="0" formatRows="0"/>
  <mergeCells count="13">
    <mergeCell ref="D7:D9"/>
    <mergeCell ref="E7:E9"/>
    <mergeCell ref="F7:F9"/>
    <mergeCell ref="J163:T163"/>
    <mergeCell ref="L8:T8"/>
    <mergeCell ref="J7:J8"/>
    <mergeCell ref="C30:C32"/>
    <mergeCell ref="D30:D32"/>
    <mergeCell ref="F30:F32"/>
    <mergeCell ref="H30:H32"/>
    <mergeCell ref="E30:E32"/>
    <mergeCell ref="H7:H9"/>
    <mergeCell ref="C7:C9"/>
  </mergeCells>
  <dataValidations count="3">
    <dataValidation type="list" allowBlank="1" showInputMessage="1" showErrorMessage="1" sqref="C33:C43 C136:C148 C133 C112:C129 C88:C107 C45:C55">
      <formula1>$C$185:$C$188</formula1>
    </dataValidation>
    <dataValidation type="list" allowBlank="1" showInputMessage="1" showErrorMessage="1" sqref="C68:C74 C76:C83">
      <formula1>$C$179:$C$182</formula1>
    </dataValidation>
    <dataValidation type="list" allowBlank="1" showInputMessage="1" showErrorMessage="1" sqref="A5">
      <formula1>$C$191:$C$192</formula1>
    </dataValidation>
  </dataValidations>
  <printOptions/>
  <pageMargins left="0" right="0" top="0" bottom="0" header="0.3" footer="0.3"/>
  <pageSetup horizontalDpi="600" verticalDpi="600" orientation="landscape" paperSize="5" scale="60" r:id="rId1"/>
</worksheet>
</file>

<file path=xl/worksheets/sheet13.xml><?xml version="1.0" encoding="utf-8"?>
<worksheet xmlns="http://schemas.openxmlformats.org/spreadsheetml/2006/main" xmlns:r="http://schemas.openxmlformats.org/officeDocument/2006/relationships">
  <sheetPr codeName="Sheet12"/>
  <dimension ref="A1:Z171"/>
  <sheetViews>
    <sheetView zoomScale="40" zoomScaleNormal="40" zoomScalePageLayoutView="0" workbookViewId="0" topLeftCell="A76">
      <selection activeCell="D146" sqref="D146"/>
    </sheetView>
  </sheetViews>
  <sheetFormatPr defaultColWidth="9.140625" defaultRowHeight="12.75"/>
  <cols>
    <col min="1" max="1" width="76.00390625" style="0" customWidth="1"/>
    <col min="2" max="2" width="4.8515625" style="0" customWidth="1"/>
    <col min="3" max="3" width="3.00390625" style="0" customWidth="1"/>
    <col min="4" max="4" width="19.8515625" style="0" customWidth="1"/>
    <col min="5" max="5" width="2.28125" style="0" customWidth="1"/>
    <col min="6" max="6" width="18.421875" style="0" customWidth="1"/>
    <col min="7" max="7" width="2.7109375" style="0" customWidth="1"/>
    <col min="8" max="8" width="18.7109375" style="0" customWidth="1"/>
    <col min="9" max="9" width="2.57421875" style="0" customWidth="1"/>
    <col min="10" max="10" width="18.7109375" style="0" customWidth="1"/>
    <col min="11" max="11" width="3.00390625" style="88" customWidth="1"/>
    <col min="12" max="12" width="18.7109375" style="0" customWidth="1"/>
    <col min="13" max="13" width="3.421875" style="88" customWidth="1"/>
    <col min="14" max="14" width="18.7109375" style="0" customWidth="1"/>
    <col min="15" max="15" width="9.140625" style="4" customWidth="1"/>
    <col min="16" max="20" width="12.28125" style="157" customWidth="1"/>
    <col min="21" max="21" width="9.140625" style="4" customWidth="1"/>
    <col min="22" max="23" width="12.7109375" style="4" bestFit="1" customWidth="1"/>
    <col min="24" max="24" width="14.140625" style="4" bestFit="1" customWidth="1"/>
    <col min="25" max="26" width="12.7109375" style="4" bestFit="1" customWidth="1"/>
  </cols>
  <sheetData>
    <row r="1" spans="1:13" ht="22.5" customHeight="1" thickBot="1">
      <c r="A1" s="164" t="str">
        <f>'Budget with Assumptions'!A2</f>
        <v>Chicago Preparatory Charter Middle School</v>
      </c>
      <c r="B1" s="9"/>
      <c r="C1" s="9"/>
      <c r="D1" s="10"/>
      <c r="E1" s="10"/>
      <c r="F1" s="10"/>
      <c r="G1" s="10"/>
      <c r="H1" s="10"/>
      <c r="I1" s="10"/>
      <c r="J1" s="10"/>
      <c r="K1" s="85"/>
      <c r="L1" s="8"/>
      <c r="M1" s="89"/>
    </row>
    <row r="2" spans="1:13" ht="23.25" customHeight="1" thickBot="1">
      <c r="A2" s="165" t="s">
        <v>149</v>
      </c>
      <c r="B2" s="9"/>
      <c r="C2" s="9"/>
      <c r="D2" s="11"/>
      <c r="E2" s="11"/>
      <c r="F2" s="11"/>
      <c r="G2" s="11"/>
      <c r="H2" s="11"/>
      <c r="I2" s="11"/>
      <c r="J2" s="11"/>
      <c r="K2" s="86"/>
      <c r="L2" s="12"/>
      <c r="M2" s="90"/>
    </row>
    <row r="3" spans="1:3" ht="16.5" customHeight="1">
      <c r="A3" s="13" t="str">
        <f>Instructions!B1</f>
        <v>Chicago Preparatory Charter Middle School</v>
      </c>
      <c r="B3" s="13"/>
      <c r="C3" s="13"/>
    </row>
    <row r="4" spans="1:3" ht="16.5" customHeight="1">
      <c r="A4" s="13"/>
      <c r="B4" s="13"/>
      <c r="C4" s="13"/>
    </row>
    <row r="5" spans="1:3" ht="16.5" customHeight="1">
      <c r="A5" s="13"/>
      <c r="B5" s="13"/>
      <c r="C5" s="13"/>
    </row>
    <row r="6" spans="1:3" ht="16.5" customHeight="1" thickBot="1">
      <c r="A6" s="13"/>
      <c r="B6" s="13"/>
      <c r="C6" s="13"/>
    </row>
    <row r="7" spans="1:4" ht="30" customHeight="1" thickBot="1">
      <c r="A7" s="42"/>
      <c r="B7" s="41"/>
      <c r="C7" s="41"/>
      <c r="D7" s="722" t="s">
        <v>56</v>
      </c>
    </row>
    <row r="8" spans="1:20" ht="27.75" customHeight="1" thickBot="1">
      <c r="A8" s="2"/>
      <c r="B8" s="41"/>
      <c r="C8" s="41"/>
      <c r="D8" s="723"/>
      <c r="E8" s="13"/>
      <c r="F8" s="719" t="s">
        <v>212</v>
      </c>
      <c r="G8" s="720"/>
      <c r="H8" s="720"/>
      <c r="I8" s="720"/>
      <c r="J8" s="720"/>
      <c r="K8" s="720"/>
      <c r="L8" s="720"/>
      <c r="M8" s="720"/>
      <c r="N8" s="721"/>
      <c r="P8" s="716" t="s">
        <v>146</v>
      </c>
      <c r="Q8" s="717"/>
      <c r="R8" s="717"/>
      <c r="S8" s="717"/>
      <c r="T8" s="718"/>
    </row>
    <row r="9" spans="1:20" ht="23.25" thickBot="1">
      <c r="A9" s="79" t="s">
        <v>62</v>
      </c>
      <c r="B9" s="2"/>
      <c r="C9" s="2"/>
      <c r="D9" s="328">
        <f>'Budget with Assumptions'!J9</f>
        <v>2021</v>
      </c>
      <c r="E9" s="41"/>
      <c r="F9" s="100">
        <f>'Budget with Assumptions'!L9</f>
        <v>2022</v>
      </c>
      <c r="G9" s="87"/>
      <c r="H9" s="100">
        <f>'Budget with Assumptions'!N9</f>
        <v>2023</v>
      </c>
      <c r="I9" s="87"/>
      <c r="J9" s="100">
        <f>'Budget with Assumptions'!P9</f>
        <v>2024</v>
      </c>
      <c r="K9" s="87"/>
      <c r="L9" s="100">
        <f>'Budget with Assumptions'!R9</f>
        <v>2025</v>
      </c>
      <c r="M9" s="91"/>
      <c r="N9" s="100">
        <f>'Budget with Assumptions'!T9</f>
        <v>2026</v>
      </c>
      <c r="P9" s="284">
        <f>'Budget with Assumptions'!L9</f>
        <v>2022</v>
      </c>
      <c r="Q9" s="284">
        <f>'Budget with Assumptions'!N9</f>
        <v>2023</v>
      </c>
      <c r="R9" s="284">
        <f>'Budget with Assumptions'!P9</f>
        <v>2024</v>
      </c>
      <c r="S9" s="284">
        <f>'Budget with Assumptions'!R9</f>
        <v>2025</v>
      </c>
      <c r="T9" s="284">
        <f>'Budget with Assumptions'!T9</f>
        <v>2026</v>
      </c>
    </row>
    <row r="10" spans="1:20" ht="17.25">
      <c r="A10" s="119" t="str">
        <f>'Budget with Assumptions'!A10</f>
        <v>SBB &amp; Non-SBB Funding</v>
      </c>
      <c r="B10" s="16"/>
      <c r="C10" s="16"/>
      <c r="D10" s="101">
        <f>'Budget with Assumptions'!J10</f>
        <v>0</v>
      </c>
      <c r="E10" s="263"/>
      <c r="F10" s="101">
        <f>'Budget with Assumptions'!L10</f>
        <v>657326.7</v>
      </c>
      <c r="G10" s="195"/>
      <c r="H10" s="101">
        <f>'Budget with Assumptions'!N10</f>
        <v>985990.05</v>
      </c>
      <c r="I10" s="195"/>
      <c r="J10" s="101">
        <f>'Budget with Assumptions'!P10</f>
        <v>1314653.4</v>
      </c>
      <c r="K10" s="248"/>
      <c r="L10" s="101">
        <f>'Budget with Assumptions'!R10</f>
        <v>1314653.4</v>
      </c>
      <c r="M10" s="248"/>
      <c r="N10" s="101">
        <f>'Budget with Assumptions'!T10</f>
        <v>1314653.4</v>
      </c>
      <c r="P10" s="285">
        <f aca="true" t="shared" si="0" ref="P10:P26">F10/$F$28</f>
        <v>0.5764894978456849</v>
      </c>
      <c r="Q10" s="285">
        <f aca="true" t="shared" si="1" ref="Q10:Q26">H10/$H$28</f>
        <v>0.6358267278588358</v>
      </c>
      <c r="R10" s="285">
        <f aca="true" t="shared" si="2" ref="R10:R26">J10/$J$28</f>
        <v>0.6256493239492602</v>
      </c>
      <c r="S10" s="285">
        <f aca="true" t="shared" si="3" ref="S10:S26">L10/$L$28</f>
        <v>0.6256493239492602</v>
      </c>
      <c r="T10" s="285">
        <f aca="true" t="shared" si="4" ref="T10:T26">N10/$N$28</f>
        <v>0.6256493239492602</v>
      </c>
    </row>
    <row r="11" spans="1:20" ht="15">
      <c r="A11" s="119" t="str">
        <f>'Budget with Assumptions'!A11</f>
        <v>Supplemental Special Education</v>
      </c>
      <c r="B11" s="16"/>
      <c r="C11" s="16"/>
      <c r="D11" s="101">
        <f>'Budget with Assumptions'!J11</f>
        <v>0</v>
      </c>
      <c r="E11" s="264"/>
      <c r="F11" s="101">
        <f>'Budget with Assumptions'!L11</f>
        <v>0</v>
      </c>
      <c r="G11" s="265"/>
      <c r="H11" s="101">
        <f>'Budget with Assumptions'!N11</f>
        <v>0</v>
      </c>
      <c r="I11" s="265"/>
      <c r="J11" s="101">
        <f>'Budget with Assumptions'!P11</f>
        <v>0</v>
      </c>
      <c r="K11" s="266"/>
      <c r="L11" s="101">
        <f>'Budget with Assumptions'!R11</f>
        <v>0</v>
      </c>
      <c r="M11" s="262"/>
      <c r="N11" s="101">
        <f>'Budget with Assumptions'!T11</f>
        <v>0</v>
      </c>
      <c r="P11" s="286">
        <f t="shared" si="0"/>
        <v>0</v>
      </c>
      <c r="Q11" s="286">
        <f t="shared" si="1"/>
        <v>0</v>
      </c>
      <c r="R11" s="285">
        <f t="shared" si="2"/>
        <v>0</v>
      </c>
      <c r="S11" s="285">
        <f t="shared" si="3"/>
        <v>0</v>
      </c>
      <c r="T11" s="285">
        <f t="shared" si="4"/>
        <v>0</v>
      </c>
    </row>
    <row r="12" spans="1:20" ht="15">
      <c r="A12" s="119" t="str">
        <f>'Budget with Assumptions'!A12</f>
        <v>NCLB-Title 1</v>
      </c>
      <c r="B12" s="16"/>
      <c r="C12" s="16"/>
      <c r="D12" s="101">
        <f>'Budget with Assumptions'!J12</f>
        <v>0</v>
      </c>
      <c r="E12" s="264"/>
      <c r="F12" s="101">
        <f>'Budget with Assumptions'!L12</f>
        <v>32809</v>
      </c>
      <c r="G12" s="265"/>
      <c r="H12" s="101">
        <f>'Budget with Assumptions'!N12</f>
        <v>49595</v>
      </c>
      <c r="I12" s="265"/>
      <c r="J12" s="101">
        <f>'Budget with Assumptions'!P12</f>
        <v>56214</v>
      </c>
      <c r="K12" s="266"/>
      <c r="L12" s="101">
        <f>'Budget with Assumptions'!R12</f>
        <v>56214</v>
      </c>
      <c r="M12" s="262"/>
      <c r="N12" s="101">
        <f>'Budget with Assumptions'!T12</f>
        <v>56214</v>
      </c>
      <c r="P12" s="286">
        <f t="shared" si="0"/>
        <v>0.028774190877715874</v>
      </c>
      <c r="Q12" s="286">
        <f t="shared" si="1"/>
        <v>0.03198189126569681</v>
      </c>
      <c r="R12" s="285">
        <f t="shared" si="2"/>
        <v>0.026752489360681465</v>
      </c>
      <c r="S12" s="285">
        <f t="shared" si="3"/>
        <v>0.026752489360681465</v>
      </c>
      <c r="T12" s="285">
        <f t="shared" si="4"/>
        <v>0.026752489360681465</v>
      </c>
    </row>
    <row r="13" spans="1:26" ht="15">
      <c r="A13" s="119" t="str">
        <f>'Budget with Assumptions'!A13</f>
        <v>NCLB-Title 2</v>
      </c>
      <c r="B13" s="16"/>
      <c r="C13" s="16"/>
      <c r="D13" s="101">
        <f>'Budget with Assumptions'!J13</f>
        <v>0</v>
      </c>
      <c r="E13" s="264"/>
      <c r="F13" s="101">
        <f>'Budget with Assumptions'!L13</f>
        <v>6300</v>
      </c>
      <c r="G13" s="265"/>
      <c r="H13" s="101">
        <f>'Budget with Assumptions'!N13</f>
        <v>9450</v>
      </c>
      <c r="I13" s="265"/>
      <c r="J13" s="101">
        <f>'Budget with Assumptions'!P13</f>
        <v>12600</v>
      </c>
      <c r="K13" s="266"/>
      <c r="L13" s="101">
        <f>'Budget with Assumptions'!R13</f>
        <v>12600</v>
      </c>
      <c r="M13" s="262"/>
      <c r="N13" s="101">
        <f>'Budget with Assumptions'!T13</f>
        <v>12600</v>
      </c>
      <c r="O13"/>
      <c r="P13" s="286">
        <f t="shared" si="0"/>
        <v>0.005525234006815508</v>
      </c>
      <c r="Q13" s="286">
        <f t="shared" si="1"/>
        <v>0.0060939383498504855</v>
      </c>
      <c r="R13" s="285">
        <f t="shared" si="2"/>
        <v>0.005996395309790914</v>
      </c>
      <c r="S13" s="285">
        <f t="shared" si="3"/>
        <v>0.005996395309790914</v>
      </c>
      <c r="T13" s="285">
        <f t="shared" si="4"/>
        <v>0.005996395309790914</v>
      </c>
      <c r="U13"/>
      <c r="V13"/>
      <c r="W13"/>
      <c r="X13"/>
      <c r="Y13"/>
      <c r="Z13"/>
    </row>
    <row r="14" spans="1:26" ht="15">
      <c r="A14" s="119" t="str">
        <f>'Budget with Assumptions'!A14</f>
        <v>ELL</v>
      </c>
      <c r="B14" s="16"/>
      <c r="C14" s="16"/>
      <c r="D14" s="101">
        <f>'Budget with Assumptions'!J14</f>
        <v>0</v>
      </c>
      <c r="E14" s="264"/>
      <c r="F14" s="101">
        <f>'Budget with Assumptions'!L14</f>
        <v>0</v>
      </c>
      <c r="G14" s="265"/>
      <c r="H14" s="101">
        <f>'Budget with Assumptions'!N14</f>
        <v>0</v>
      </c>
      <c r="I14" s="265"/>
      <c r="J14" s="101">
        <f>'Budget with Assumptions'!P14</f>
        <v>0</v>
      </c>
      <c r="K14" s="266"/>
      <c r="L14" s="101">
        <f>'Budget with Assumptions'!R14</f>
        <v>0</v>
      </c>
      <c r="M14" s="262"/>
      <c r="N14" s="101">
        <f>'Budget with Assumptions'!T14</f>
        <v>0</v>
      </c>
      <c r="O14"/>
      <c r="P14" s="286">
        <f t="shared" si="0"/>
        <v>0</v>
      </c>
      <c r="Q14" s="286">
        <f t="shared" si="1"/>
        <v>0</v>
      </c>
      <c r="R14" s="285">
        <f t="shared" si="2"/>
        <v>0</v>
      </c>
      <c r="S14" s="285">
        <f t="shared" si="3"/>
        <v>0</v>
      </c>
      <c r="T14" s="285">
        <f t="shared" si="4"/>
        <v>0</v>
      </c>
      <c r="U14"/>
      <c r="V14"/>
      <c r="W14"/>
      <c r="X14"/>
      <c r="Y14"/>
      <c r="Z14"/>
    </row>
    <row r="15" spans="1:26" ht="15.75" customHeight="1" hidden="1">
      <c r="A15" s="119" t="str">
        <f>'Budget with Assumptions'!A15</f>
        <v>CPS Incubation Funds</v>
      </c>
      <c r="B15" s="16"/>
      <c r="C15" s="16"/>
      <c r="D15" s="101">
        <f>'Budget with Assumptions'!J15</f>
        <v>0</v>
      </c>
      <c r="E15" s="265"/>
      <c r="F15" s="101">
        <f>'Budget with Assumptions'!L15</f>
        <v>0</v>
      </c>
      <c r="G15" s="265"/>
      <c r="H15" s="101">
        <f>'Budget with Assumptions'!N15</f>
        <v>0</v>
      </c>
      <c r="I15" s="265"/>
      <c r="J15" s="101">
        <f>'Budget with Assumptions'!P15</f>
        <v>0</v>
      </c>
      <c r="K15" s="266"/>
      <c r="L15" s="101">
        <f>'Budget with Assumptions'!R15</f>
        <v>0</v>
      </c>
      <c r="M15" s="262"/>
      <c r="N15" s="101">
        <f>'Budget with Assumptions'!T15</f>
        <v>0</v>
      </c>
      <c r="O15"/>
      <c r="P15" s="286">
        <f t="shared" si="0"/>
        <v>0</v>
      </c>
      <c r="Q15" s="286">
        <f t="shared" si="1"/>
        <v>0</v>
      </c>
      <c r="R15" s="285">
        <f t="shared" si="2"/>
        <v>0</v>
      </c>
      <c r="S15" s="285">
        <f t="shared" si="3"/>
        <v>0</v>
      </c>
      <c r="T15" s="285">
        <f t="shared" si="4"/>
        <v>0</v>
      </c>
      <c r="U15"/>
      <c r="V15"/>
      <c r="W15"/>
      <c r="X15"/>
      <c r="Y15"/>
      <c r="Z15"/>
    </row>
    <row r="16" spans="1:26" ht="15">
      <c r="A16" s="119" t="str">
        <f>'Budget with Assumptions'!A16</f>
        <v>Private Fundraising</v>
      </c>
      <c r="B16" s="16"/>
      <c r="C16" s="16"/>
      <c r="D16" s="101">
        <f>'Budget with Assumptions'!J16</f>
        <v>250000</v>
      </c>
      <c r="E16" s="265"/>
      <c r="F16" s="101">
        <f>'Budget with Assumptions'!L16</f>
        <v>75000</v>
      </c>
      <c r="G16" s="265"/>
      <c r="H16" s="101">
        <f>'Budget with Assumptions'!N16</f>
        <v>0</v>
      </c>
      <c r="I16" s="265"/>
      <c r="J16" s="101">
        <f>'Budget with Assumptions'!P16</f>
        <v>0</v>
      </c>
      <c r="K16" s="266"/>
      <c r="L16" s="101">
        <f>'Budget with Assumptions'!R16</f>
        <v>0</v>
      </c>
      <c r="M16" s="262"/>
      <c r="N16" s="101">
        <f>'Budget with Assumptions'!T16</f>
        <v>0</v>
      </c>
      <c r="O16"/>
      <c r="P16" s="286">
        <f t="shared" si="0"/>
        <v>0.06577659531923223</v>
      </c>
      <c r="Q16" s="286">
        <f t="shared" si="1"/>
        <v>0</v>
      </c>
      <c r="R16" s="285">
        <f t="shared" si="2"/>
        <v>0</v>
      </c>
      <c r="S16" s="285">
        <f t="shared" si="3"/>
        <v>0</v>
      </c>
      <c r="T16" s="285">
        <f t="shared" si="4"/>
        <v>0</v>
      </c>
      <c r="U16"/>
      <c r="V16"/>
      <c r="W16"/>
      <c r="X16"/>
      <c r="Y16"/>
      <c r="Z16"/>
    </row>
    <row r="17" spans="1:26" ht="15">
      <c r="A17" s="119" t="str">
        <f>'Budget with Assumptions'!A17</f>
        <v>Student Fees</v>
      </c>
      <c r="B17" s="16"/>
      <c r="C17" s="16"/>
      <c r="D17" s="101">
        <f>'Budget with Assumptions'!J17</f>
        <v>0</v>
      </c>
      <c r="E17" s="265"/>
      <c r="F17" s="101">
        <f>'Budget with Assumptions'!L17</f>
        <v>0</v>
      </c>
      <c r="G17" s="265"/>
      <c r="H17" s="101">
        <f>'Budget with Assumptions'!N17</f>
        <v>0</v>
      </c>
      <c r="I17" s="265"/>
      <c r="J17" s="101">
        <f>'Budget with Assumptions'!P17</f>
        <v>0</v>
      </c>
      <c r="K17" s="266"/>
      <c r="L17" s="101">
        <f>'Budget with Assumptions'!R17</f>
        <v>0</v>
      </c>
      <c r="M17" s="262"/>
      <c r="N17" s="101">
        <f>'Budget with Assumptions'!T17</f>
        <v>0</v>
      </c>
      <c r="O17"/>
      <c r="P17" s="286">
        <f t="shared" si="0"/>
        <v>0</v>
      </c>
      <c r="Q17" s="286">
        <f t="shared" si="1"/>
        <v>0</v>
      </c>
      <c r="R17" s="285">
        <f t="shared" si="2"/>
        <v>0</v>
      </c>
      <c r="S17" s="285">
        <f t="shared" si="3"/>
        <v>0</v>
      </c>
      <c r="T17" s="285">
        <f t="shared" si="4"/>
        <v>0</v>
      </c>
      <c r="U17"/>
      <c r="V17"/>
      <c r="W17"/>
      <c r="X17"/>
      <c r="Y17"/>
      <c r="Z17"/>
    </row>
    <row r="18" spans="1:26" ht="15">
      <c r="A18" s="119" t="str">
        <f>'Budget with Assumptions'!A18</f>
        <v>Erate</v>
      </c>
      <c r="B18" s="16"/>
      <c r="C18" s="16"/>
      <c r="D18" s="101">
        <f>'Budget with Assumptions'!J18</f>
        <v>0</v>
      </c>
      <c r="E18" s="265"/>
      <c r="F18" s="101">
        <f>'Budget with Assumptions'!L18</f>
        <v>0</v>
      </c>
      <c r="G18" s="265"/>
      <c r="H18" s="101">
        <f>'Budget with Assumptions'!N18</f>
        <v>0</v>
      </c>
      <c r="I18" s="265"/>
      <c r="J18" s="101">
        <f>'Budget with Assumptions'!P18</f>
        <v>0</v>
      </c>
      <c r="K18" s="266"/>
      <c r="L18" s="101">
        <f>'Budget with Assumptions'!R18</f>
        <v>0</v>
      </c>
      <c r="M18" s="262"/>
      <c r="N18" s="101">
        <f>'Budget with Assumptions'!T18</f>
        <v>0</v>
      </c>
      <c r="O18"/>
      <c r="P18" s="286">
        <f t="shared" si="0"/>
        <v>0</v>
      </c>
      <c r="Q18" s="286">
        <f t="shared" si="1"/>
        <v>0</v>
      </c>
      <c r="R18" s="285">
        <f t="shared" si="2"/>
        <v>0</v>
      </c>
      <c r="S18" s="285">
        <f t="shared" si="3"/>
        <v>0</v>
      </c>
      <c r="T18" s="285">
        <f t="shared" si="4"/>
        <v>0</v>
      </c>
      <c r="U18"/>
      <c r="V18"/>
      <c r="W18"/>
      <c r="X18"/>
      <c r="Y18"/>
      <c r="Z18"/>
    </row>
    <row r="19" spans="1:26" ht="15">
      <c r="A19" s="119" t="str">
        <f>'Budget with Assumptions'!A19</f>
        <v>Investment Income</v>
      </c>
      <c r="B19" s="16"/>
      <c r="C19" s="16"/>
      <c r="D19" s="101">
        <f>'Budget with Assumptions'!J19</f>
        <v>0</v>
      </c>
      <c r="E19" s="265"/>
      <c r="F19" s="101">
        <f>'Budget with Assumptions'!L19</f>
        <v>0</v>
      </c>
      <c r="G19" s="265"/>
      <c r="H19" s="101">
        <f>'Budget with Assumptions'!N19</f>
        <v>0</v>
      </c>
      <c r="I19" s="265"/>
      <c r="J19" s="101">
        <f>'Budget with Assumptions'!P19</f>
        <v>0</v>
      </c>
      <c r="K19" s="266"/>
      <c r="L19" s="101">
        <f>'Budget with Assumptions'!R19</f>
        <v>0</v>
      </c>
      <c r="M19" s="262"/>
      <c r="N19" s="101">
        <f>'Budget with Assumptions'!T19</f>
        <v>0</v>
      </c>
      <c r="O19"/>
      <c r="P19" s="286">
        <f t="shared" si="0"/>
        <v>0</v>
      </c>
      <c r="Q19" s="286">
        <f t="shared" si="1"/>
        <v>0</v>
      </c>
      <c r="R19" s="285">
        <f t="shared" si="2"/>
        <v>0</v>
      </c>
      <c r="S19" s="285">
        <f t="shared" si="3"/>
        <v>0</v>
      </c>
      <c r="T19" s="285">
        <f t="shared" si="4"/>
        <v>0</v>
      </c>
      <c r="U19"/>
      <c r="V19"/>
      <c r="W19"/>
      <c r="X19"/>
      <c r="Y19"/>
      <c r="Z19"/>
    </row>
    <row r="20" spans="1:26" ht="15">
      <c r="A20" s="119" t="str">
        <f>'Budget with Assumptions'!A20</f>
        <v>Non-Facility Loan Proceeds / Line of Credit</v>
      </c>
      <c r="B20" s="16"/>
      <c r="C20" s="16"/>
      <c r="D20" s="101">
        <f>'Budget with Assumptions'!J20</f>
        <v>0</v>
      </c>
      <c r="E20" s="265"/>
      <c r="F20" s="101">
        <f>'Budget with Assumptions'!L20</f>
        <v>0</v>
      </c>
      <c r="G20" s="265"/>
      <c r="H20" s="101">
        <f>'Budget with Assumptions'!N20</f>
        <v>0</v>
      </c>
      <c r="I20" s="265"/>
      <c r="J20" s="101">
        <f>'Budget with Assumptions'!P20</f>
        <v>0</v>
      </c>
      <c r="K20" s="266"/>
      <c r="L20" s="101">
        <f>'Budget with Assumptions'!R20</f>
        <v>0</v>
      </c>
      <c r="M20" s="262"/>
      <c r="N20" s="101">
        <f>'Budget with Assumptions'!T20</f>
        <v>0</v>
      </c>
      <c r="O20"/>
      <c r="P20" s="286">
        <f t="shared" si="0"/>
        <v>0</v>
      </c>
      <c r="Q20" s="286">
        <f t="shared" si="1"/>
        <v>0</v>
      </c>
      <c r="R20" s="285">
        <f t="shared" si="2"/>
        <v>0</v>
      </c>
      <c r="S20" s="285">
        <f t="shared" si="3"/>
        <v>0</v>
      </c>
      <c r="T20" s="285">
        <f t="shared" si="4"/>
        <v>0</v>
      </c>
      <c r="U20"/>
      <c r="V20"/>
      <c r="W20"/>
      <c r="X20"/>
      <c r="Y20"/>
      <c r="Z20"/>
    </row>
    <row r="21" spans="1:26" ht="15">
      <c r="A21" s="119" t="str">
        <f>'Budget with Assumptions'!A21</f>
        <v>Special Education Funding</v>
      </c>
      <c r="B21" s="16"/>
      <c r="C21" s="16"/>
      <c r="D21" s="101">
        <f>'Budget with Assumptions'!J21</f>
        <v>0</v>
      </c>
      <c r="E21" s="265"/>
      <c r="F21" s="101">
        <f>'Budget with Assumptions'!L21</f>
        <v>171350</v>
      </c>
      <c r="G21" s="265"/>
      <c r="H21" s="101">
        <f>'Budget with Assumptions'!N21</f>
        <v>242650</v>
      </c>
      <c r="I21" s="265"/>
      <c r="J21" s="101">
        <f>'Budget with Assumptions'!P21</f>
        <v>331200</v>
      </c>
      <c r="K21" s="266"/>
      <c r="L21" s="101">
        <f>'Budget with Assumptions'!R21</f>
        <v>331200</v>
      </c>
      <c r="M21" s="262"/>
      <c r="N21" s="101">
        <f>'Budget with Assumptions'!T21</f>
        <v>331200</v>
      </c>
      <c r="O21"/>
      <c r="P21" s="286">
        <f t="shared" si="0"/>
        <v>0.15027759477267258</v>
      </c>
      <c r="Q21" s="286">
        <f t="shared" si="1"/>
        <v>0.15647557043293336</v>
      </c>
      <c r="R21" s="285">
        <f t="shared" si="2"/>
        <v>0.1576195338573612</v>
      </c>
      <c r="S21" s="285">
        <f t="shared" si="3"/>
        <v>0.1576195338573612</v>
      </c>
      <c r="T21" s="285">
        <f t="shared" si="4"/>
        <v>0.1576195338573612</v>
      </c>
      <c r="U21"/>
      <c r="V21"/>
      <c r="W21"/>
      <c r="X21"/>
      <c r="Y21"/>
      <c r="Z21"/>
    </row>
    <row r="22" spans="1:26" ht="15">
      <c r="A22" s="119" t="str">
        <f>'Budget with Assumptions'!A22</f>
        <v>Supplemental Aid</v>
      </c>
      <c r="B22" s="18"/>
      <c r="C22" s="18"/>
      <c r="D22" s="101">
        <f>'Budget with Assumptions'!J22</f>
        <v>0</v>
      </c>
      <c r="E22" s="265"/>
      <c r="F22" s="101">
        <f>'Budget with Assumptions'!L22</f>
        <v>66240</v>
      </c>
      <c r="G22" s="265"/>
      <c r="H22" s="101">
        <f>'Budget with Assumptions'!N22</f>
        <v>66240</v>
      </c>
      <c r="I22" s="265"/>
      <c r="J22" s="101">
        <f>'Budget with Assumptions'!P22</f>
        <v>124200</v>
      </c>
      <c r="K22" s="266"/>
      <c r="L22" s="101">
        <f>'Budget with Assumptions'!R22</f>
        <v>124200</v>
      </c>
      <c r="M22" s="262"/>
      <c r="N22" s="101">
        <f>'Budget with Assumptions'!T22</f>
        <v>124200</v>
      </c>
      <c r="O22"/>
      <c r="P22" s="286">
        <f t="shared" si="0"/>
        <v>0.05809388898594591</v>
      </c>
      <c r="Q22" s="286">
        <f t="shared" si="1"/>
        <v>0.042715605957047216</v>
      </c>
      <c r="R22" s="285">
        <f t="shared" si="2"/>
        <v>0.05910732519651044</v>
      </c>
      <c r="S22" s="285">
        <f t="shared" si="3"/>
        <v>0.05910732519651044</v>
      </c>
      <c r="T22" s="285">
        <f t="shared" si="4"/>
        <v>0.05910732519651044</v>
      </c>
      <c r="U22"/>
      <c r="V22"/>
      <c r="W22"/>
      <c r="X22"/>
      <c r="Y22"/>
      <c r="Z22"/>
    </row>
    <row r="23" spans="1:26" ht="15">
      <c r="A23" s="119" t="str">
        <f>'Budget with Assumptions'!A23</f>
        <v>Facilities Supplement</v>
      </c>
      <c r="B23" s="18"/>
      <c r="C23" s="18"/>
      <c r="D23" s="101">
        <f>'Budget with Assumptions'!J23</f>
        <v>0</v>
      </c>
      <c r="E23" s="265"/>
      <c r="F23" s="101">
        <f>'Budget with Assumptions'!L23</f>
        <v>131197.5</v>
      </c>
      <c r="G23" s="265"/>
      <c r="H23" s="101">
        <f>'Budget with Assumptions'!N23</f>
        <v>196796.25</v>
      </c>
      <c r="I23" s="265"/>
      <c r="J23" s="101">
        <f>'Budget with Assumptions'!P23</f>
        <v>262395</v>
      </c>
      <c r="K23" s="266"/>
      <c r="L23" s="101">
        <f>'Budget with Assumptions'!R23</f>
        <v>262395</v>
      </c>
      <c r="M23" s="262"/>
      <c r="N23" s="101">
        <f>'Budget with Assumptions'!T23</f>
        <v>262395</v>
      </c>
      <c r="O23"/>
      <c r="P23" s="286">
        <f t="shared" si="0"/>
        <v>0.11506299819193296</v>
      </c>
      <c r="Q23" s="286">
        <f t="shared" si="1"/>
        <v>0.12690626613563635</v>
      </c>
      <c r="R23" s="285">
        <f t="shared" si="2"/>
        <v>0.1248749323263958</v>
      </c>
      <c r="S23" s="285">
        <f t="shared" si="3"/>
        <v>0.1248749323263958</v>
      </c>
      <c r="T23" s="285">
        <f t="shared" si="4"/>
        <v>0.1248749323263958</v>
      </c>
      <c r="U23"/>
      <c r="V23"/>
      <c r="W23"/>
      <c r="X23"/>
      <c r="Y23"/>
      <c r="Z23"/>
    </row>
    <row r="24" spans="1:26" ht="15">
      <c r="A24" s="119">
        <f>'Budget with Assumptions'!A24</f>
        <v>0</v>
      </c>
      <c r="B24" s="18"/>
      <c r="C24" s="18"/>
      <c r="D24" s="101">
        <f>'Budget with Assumptions'!J24</f>
        <v>0</v>
      </c>
      <c r="E24" s="265"/>
      <c r="F24" s="101">
        <f>'Budget with Assumptions'!L24</f>
        <v>0</v>
      </c>
      <c r="G24" s="265"/>
      <c r="H24" s="101">
        <f>'Budget with Assumptions'!N24</f>
        <v>0</v>
      </c>
      <c r="I24" s="265"/>
      <c r="J24" s="101">
        <f>'Budget with Assumptions'!P24</f>
        <v>0</v>
      </c>
      <c r="K24" s="266"/>
      <c r="L24" s="101">
        <f>'Budget with Assumptions'!R24</f>
        <v>0</v>
      </c>
      <c r="M24" s="262"/>
      <c r="N24" s="101">
        <f>'Budget with Assumptions'!T24</f>
        <v>0</v>
      </c>
      <c r="O24"/>
      <c r="P24" s="286">
        <f t="shared" si="0"/>
        <v>0</v>
      </c>
      <c r="Q24" s="286">
        <f t="shared" si="1"/>
        <v>0</v>
      </c>
      <c r="R24" s="285">
        <f t="shared" si="2"/>
        <v>0</v>
      </c>
      <c r="S24" s="285">
        <f t="shared" si="3"/>
        <v>0</v>
      </c>
      <c r="T24" s="285">
        <f t="shared" si="4"/>
        <v>0</v>
      </c>
      <c r="U24"/>
      <c r="V24"/>
      <c r="W24"/>
      <c r="X24"/>
      <c r="Y24"/>
      <c r="Z24"/>
    </row>
    <row r="25" spans="1:26" ht="15">
      <c r="A25" s="119">
        <f>'Budget with Assumptions'!A25</f>
        <v>0</v>
      </c>
      <c r="B25" s="18"/>
      <c r="C25" s="18"/>
      <c r="D25" s="101">
        <f>'Budget with Assumptions'!J25</f>
        <v>0</v>
      </c>
      <c r="E25" s="265"/>
      <c r="F25" s="101">
        <f>'Budget with Assumptions'!L25</f>
        <v>0</v>
      </c>
      <c r="G25" s="265"/>
      <c r="H25" s="101">
        <f>'Budget with Assumptions'!N25</f>
        <v>0</v>
      </c>
      <c r="I25" s="265"/>
      <c r="J25" s="101">
        <f>'Budget with Assumptions'!P25</f>
        <v>0</v>
      </c>
      <c r="K25" s="266"/>
      <c r="L25" s="101">
        <f>'Budget with Assumptions'!R25</f>
        <v>0</v>
      </c>
      <c r="M25" s="262"/>
      <c r="N25" s="101">
        <f>'Budget with Assumptions'!T25</f>
        <v>0</v>
      </c>
      <c r="O25"/>
      <c r="P25" s="286">
        <f t="shared" si="0"/>
        <v>0</v>
      </c>
      <c r="Q25" s="286">
        <f t="shared" si="1"/>
        <v>0</v>
      </c>
      <c r="R25" s="285">
        <f t="shared" si="2"/>
        <v>0</v>
      </c>
      <c r="S25" s="285">
        <f t="shared" si="3"/>
        <v>0</v>
      </c>
      <c r="T25" s="285">
        <f t="shared" si="4"/>
        <v>0</v>
      </c>
      <c r="U25"/>
      <c r="V25"/>
      <c r="W25"/>
      <c r="X25"/>
      <c r="Y25"/>
      <c r="Z25"/>
    </row>
    <row r="26" spans="1:26" ht="15">
      <c r="A26" s="119">
        <f>'Budget with Assumptions'!A26</f>
        <v>0</v>
      </c>
      <c r="B26" s="18"/>
      <c r="C26" s="18"/>
      <c r="D26" s="101">
        <f>'Budget with Assumptions'!J26</f>
        <v>0</v>
      </c>
      <c r="E26" s="265"/>
      <c r="F26" s="101">
        <f>'Budget with Assumptions'!L26</f>
        <v>0</v>
      </c>
      <c r="G26" s="265"/>
      <c r="H26" s="101">
        <f>'Budget with Assumptions'!N26</f>
        <v>0</v>
      </c>
      <c r="I26" s="265"/>
      <c r="J26" s="101">
        <f>'Budget with Assumptions'!P26</f>
        <v>0</v>
      </c>
      <c r="K26" s="267"/>
      <c r="L26" s="101">
        <f>'Budget with Assumptions'!R26</f>
        <v>0</v>
      </c>
      <c r="M26" s="262"/>
      <c r="N26" s="101">
        <f>'Budget with Assumptions'!T26</f>
        <v>0</v>
      </c>
      <c r="O26"/>
      <c r="P26" s="286">
        <f t="shared" si="0"/>
        <v>0</v>
      </c>
      <c r="Q26" s="286">
        <f t="shared" si="1"/>
        <v>0</v>
      </c>
      <c r="R26" s="285">
        <f t="shared" si="2"/>
        <v>0</v>
      </c>
      <c r="S26" s="285">
        <f t="shared" si="3"/>
        <v>0</v>
      </c>
      <c r="T26" s="285">
        <f t="shared" si="4"/>
        <v>0</v>
      </c>
      <c r="U26"/>
      <c r="V26"/>
      <c r="W26"/>
      <c r="X26"/>
      <c r="Y26"/>
      <c r="Z26"/>
    </row>
    <row r="27" spans="1:26" ht="15" thickBot="1">
      <c r="A27" s="14"/>
      <c r="B27" s="16"/>
      <c r="C27" s="16"/>
      <c r="D27" s="265"/>
      <c r="E27" s="265"/>
      <c r="F27" s="265"/>
      <c r="G27" s="265"/>
      <c r="H27" s="265"/>
      <c r="I27" s="265"/>
      <c r="J27" s="264"/>
      <c r="K27" s="266"/>
      <c r="L27" s="40"/>
      <c r="M27" s="262"/>
      <c r="N27" s="40"/>
      <c r="O27"/>
      <c r="P27" s="287"/>
      <c r="Q27" s="287"/>
      <c r="R27" s="287"/>
      <c r="S27" s="287"/>
      <c r="T27" s="287"/>
      <c r="U27"/>
      <c r="V27"/>
      <c r="W27"/>
      <c r="X27"/>
      <c r="Y27"/>
      <c r="Z27"/>
    </row>
    <row r="28" spans="2:26" ht="15" thickBot="1">
      <c r="B28" s="19"/>
      <c r="C28" s="19"/>
      <c r="D28" s="130">
        <f>SUM(D10:D26)</f>
        <v>250000</v>
      </c>
      <c r="E28" s="96"/>
      <c r="F28" s="130">
        <f>SUM(F10:F26)</f>
        <v>1140223.2</v>
      </c>
      <c r="G28" s="96"/>
      <c r="H28" s="130">
        <f>SUM(H10:H26)</f>
        <v>1550721.3</v>
      </c>
      <c r="I28" s="96"/>
      <c r="J28" s="130">
        <f>SUM(J10:J26)</f>
        <v>2101262.4</v>
      </c>
      <c r="K28" s="97"/>
      <c r="L28" s="130">
        <f>SUM(L10:L26)</f>
        <v>2101262.4</v>
      </c>
      <c r="M28" s="247"/>
      <c r="N28" s="131">
        <f>SUM(N10:N26)</f>
        <v>2101262.4</v>
      </c>
      <c r="O28"/>
      <c r="P28" s="288">
        <f>SUM(P10:P27)</f>
        <v>0.9999999999999999</v>
      </c>
      <c r="Q28" s="288">
        <f>SUM(Q10:Q27)</f>
        <v>1</v>
      </c>
      <c r="R28" s="288">
        <f>SUM(R10:R27)</f>
        <v>0.9999999999999999</v>
      </c>
      <c r="S28" s="288">
        <f>SUM(S10:S27)</f>
        <v>0.9999999999999999</v>
      </c>
      <c r="T28" s="288">
        <f>SUM(T10:T27)</f>
        <v>0.9999999999999999</v>
      </c>
      <c r="U28"/>
      <c r="V28"/>
      <c r="W28"/>
      <c r="X28"/>
      <c r="Y28"/>
      <c r="Z28"/>
    </row>
    <row r="29" spans="1:26" ht="15">
      <c r="A29" s="17"/>
      <c r="B29" s="18"/>
      <c r="C29" s="18"/>
      <c r="D29" s="265"/>
      <c r="E29" s="265"/>
      <c r="F29" s="265"/>
      <c r="G29" s="265"/>
      <c r="H29" s="265"/>
      <c r="I29" s="265"/>
      <c r="J29" s="265"/>
      <c r="K29" s="268"/>
      <c r="L29" s="40"/>
      <c r="M29" s="262"/>
      <c r="N29" s="40"/>
      <c r="O29"/>
      <c r="P29" s="287"/>
      <c r="Q29" s="287"/>
      <c r="R29" s="287"/>
      <c r="S29" s="287"/>
      <c r="T29" s="287"/>
      <c r="U29"/>
      <c r="V29"/>
      <c r="W29"/>
      <c r="X29"/>
      <c r="Y29"/>
      <c r="Z29"/>
    </row>
    <row r="30" spans="1:26" ht="18" customHeight="1" thickBot="1">
      <c r="A30" s="80" t="s">
        <v>19</v>
      </c>
      <c r="B30" s="18"/>
      <c r="C30" s="18"/>
      <c r="D30" s="265"/>
      <c r="E30" s="265"/>
      <c r="F30" s="265"/>
      <c r="G30" s="265"/>
      <c r="H30" s="265"/>
      <c r="I30" s="265"/>
      <c r="J30" s="265"/>
      <c r="K30" s="268"/>
      <c r="L30" s="40"/>
      <c r="M30" s="262"/>
      <c r="N30" s="40"/>
      <c r="O30"/>
      <c r="P30" s="287"/>
      <c r="Q30" s="287"/>
      <c r="R30" s="287"/>
      <c r="S30" s="287"/>
      <c r="T30" s="287"/>
      <c r="U30"/>
      <c r="V30"/>
      <c r="W30"/>
      <c r="X30"/>
      <c r="Y30"/>
      <c r="Z30"/>
    </row>
    <row r="31" spans="1:26" ht="18" customHeight="1" thickBot="1">
      <c r="A31" s="14"/>
      <c r="B31" s="18"/>
      <c r="C31" s="18"/>
      <c r="D31" s="265"/>
      <c r="E31" s="265"/>
      <c r="F31" s="265"/>
      <c r="G31" s="265"/>
      <c r="H31" s="265"/>
      <c r="I31" s="265"/>
      <c r="J31" s="265"/>
      <c r="K31" s="268"/>
      <c r="L31" s="40"/>
      <c r="M31" s="262"/>
      <c r="N31" s="40"/>
      <c r="O31"/>
      <c r="P31" s="287"/>
      <c r="Q31" s="287"/>
      <c r="R31" s="287"/>
      <c r="S31" s="287"/>
      <c r="T31" s="287"/>
      <c r="U31"/>
      <c r="V31" s="716" t="s">
        <v>148</v>
      </c>
      <c r="W31" s="717"/>
      <c r="X31" s="717"/>
      <c r="Y31" s="717"/>
      <c r="Z31" s="718"/>
    </row>
    <row r="32" spans="1:26" ht="32.25" customHeight="1" thickBot="1">
      <c r="A32" s="160" t="s">
        <v>3</v>
      </c>
      <c r="B32" s="16"/>
      <c r="C32" s="16"/>
      <c r="D32" s="269"/>
      <c r="E32" s="269"/>
      <c r="F32" s="269"/>
      <c r="G32" s="269"/>
      <c r="H32" s="269"/>
      <c r="I32" s="269"/>
      <c r="J32" s="269"/>
      <c r="K32" s="270"/>
      <c r="L32" s="269"/>
      <c r="M32" s="262"/>
      <c r="N32" s="269"/>
      <c r="O32"/>
      <c r="P32" s="716" t="s">
        <v>147</v>
      </c>
      <c r="Q32" s="717"/>
      <c r="R32" s="717"/>
      <c r="S32" s="717"/>
      <c r="T32" s="718"/>
      <c r="U32"/>
      <c r="V32" s="284">
        <f>P9</f>
        <v>2022</v>
      </c>
      <c r="W32" s="284">
        <f>Q9</f>
        <v>2023</v>
      </c>
      <c r="X32" s="284">
        <f>R9</f>
        <v>2024</v>
      </c>
      <c r="Y32" s="284">
        <f>S9</f>
        <v>2025</v>
      </c>
      <c r="Z32" s="284">
        <f>T9</f>
        <v>2026</v>
      </c>
    </row>
    <row r="33" spans="1:26" ht="15">
      <c r="A33" s="167" t="str">
        <f>'Budget with Assumptions'!A33</f>
        <v>Classroom Supplies (consumables)</v>
      </c>
      <c r="B33" s="21"/>
      <c r="C33" s="21"/>
      <c r="D33" s="101">
        <f>'Budget with Assumptions'!J33</f>
        <v>0</v>
      </c>
      <c r="E33" s="271"/>
      <c r="F33" s="101">
        <f>'Budget with Assumptions'!L33</f>
        <v>18000</v>
      </c>
      <c r="G33" s="271"/>
      <c r="H33" s="101">
        <f>'Budget with Assumptions'!N33</f>
        <v>27000</v>
      </c>
      <c r="I33" s="271"/>
      <c r="J33" s="101">
        <f>'Budget with Assumptions'!P33</f>
        <v>36000</v>
      </c>
      <c r="K33" s="272"/>
      <c r="L33" s="101">
        <f>'Budget with Assumptions'!R33</f>
        <v>36000</v>
      </c>
      <c r="M33" s="262"/>
      <c r="N33" s="101">
        <f>'Budget with Assumptions'!T33</f>
        <v>36000</v>
      </c>
      <c r="O33"/>
      <c r="P33" s="285">
        <f aca="true" t="shared" si="5" ref="P33:P55">F33/$F$152</f>
        <v>0.016829450854597878</v>
      </c>
      <c r="Q33" s="285">
        <f aca="true" t="shared" si="6" ref="Q33:Q55">H33/$H$152</f>
        <v>0.01827536521675141</v>
      </c>
      <c r="R33" s="285">
        <f aca="true" t="shared" si="7" ref="R33:R55">J33/$J$152</f>
        <v>0.017852566413022523</v>
      </c>
      <c r="S33" s="285">
        <f aca="true" t="shared" si="8" ref="S33:S55">L33/$L$152</f>
        <v>0.017716819376719622</v>
      </c>
      <c r="T33" s="285">
        <f aca="true" t="shared" si="9" ref="T33:T55">N33/$N$152</f>
        <v>0.017529302424163052</v>
      </c>
      <c r="U33"/>
      <c r="V33" s="292">
        <f>F33/$F$171</f>
        <v>200</v>
      </c>
      <c r="W33" s="292">
        <f>H33/$H$171</f>
        <v>200</v>
      </c>
      <c r="X33" s="292">
        <f>J33/$J$171</f>
        <v>200</v>
      </c>
      <c r="Y33" s="292">
        <f>L33/$L$171</f>
        <v>200</v>
      </c>
      <c r="Z33" s="292">
        <f>N33/$N$171</f>
        <v>200</v>
      </c>
    </row>
    <row r="34" spans="1:26" ht="15">
      <c r="A34" s="167" t="str">
        <f>'Budget with Assumptions'!A34</f>
        <v>Educational Materials (non-consumables)</v>
      </c>
      <c r="B34" s="23"/>
      <c r="C34" s="23"/>
      <c r="D34" s="101">
        <f>'Budget with Assumptions'!J34</f>
        <v>0</v>
      </c>
      <c r="E34" s="271"/>
      <c r="F34" s="101">
        <f>'Budget with Assumptions'!L34</f>
        <v>14100</v>
      </c>
      <c r="G34" s="271"/>
      <c r="H34" s="101">
        <f>'Budget with Assumptions'!N34</f>
        <v>16650</v>
      </c>
      <c r="I34" s="271"/>
      <c r="J34" s="101">
        <f>'Budget with Assumptions'!P34</f>
        <v>21450</v>
      </c>
      <c r="K34" s="272"/>
      <c r="L34" s="101">
        <f>'Budget with Assumptions'!R34</f>
        <v>19200</v>
      </c>
      <c r="M34" s="262"/>
      <c r="N34" s="101">
        <f>'Budget with Assumptions'!T34</f>
        <v>19200</v>
      </c>
      <c r="O34"/>
      <c r="P34" s="285">
        <f t="shared" si="5"/>
        <v>0.013183069836101671</v>
      </c>
      <c r="Q34" s="285">
        <f t="shared" si="6"/>
        <v>0.011269808550330036</v>
      </c>
      <c r="R34" s="285">
        <f t="shared" si="7"/>
        <v>0.01063715415442592</v>
      </c>
      <c r="S34" s="285">
        <f t="shared" si="8"/>
        <v>0.009448970334250465</v>
      </c>
      <c r="T34" s="285">
        <f t="shared" si="9"/>
        <v>0.00934896129288696</v>
      </c>
      <c r="U34"/>
      <c r="V34" s="292">
        <f aca="true" t="shared" si="10" ref="V34:V55">F34/$F$171</f>
        <v>156.66666666666666</v>
      </c>
      <c r="W34" s="292">
        <f aca="true" t="shared" si="11" ref="W34:W55">H34/$H$171</f>
        <v>123.33333333333333</v>
      </c>
      <c r="X34" s="292">
        <f aca="true" t="shared" si="12" ref="X34:X55">J34/$J$171</f>
        <v>119.16666666666667</v>
      </c>
      <c r="Y34" s="292">
        <f aca="true" t="shared" si="13" ref="Y34:Y55">L34/$L$171</f>
        <v>106.66666666666667</v>
      </c>
      <c r="Z34" s="292">
        <f aca="true" t="shared" si="14" ref="Z34:Z55">N34/$N$171</f>
        <v>106.66666666666667</v>
      </c>
    </row>
    <row r="35" spans="1:26" ht="15">
      <c r="A35" s="167" t="str">
        <f>'Budget with Assumptions'!A35</f>
        <v>Student Testing &amp; Assessment</v>
      </c>
      <c r="B35" s="23"/>
      <c r="C35" s="23"/>
      <c r="D35" s="101">
        <f>'Budget with Assumptions'!J35</f>
        <v>0</v>
      </c>
      <c r="E35" s="271"/>
      <c r="F35" s="101">
        <f>'Budget with Assumptions'!L35</f>
        <v>4787.5</v>
      </c>
      <c r="G35" s="271"/>
      <c r="H35" s="101">
        <f>'Budget with Assumptions'!N35</f>
        <v>2531.25</v>
      </c>
      <c r="I35" s="271"/>
      <c r="J35" s="101">
        <f>'Budget with Assumptions'!P35</f>
        <v>3375</v>
      </c>
      <c r="K35" s="272"/>
      <c r="L35" s="101">
        <f>'Budget with Assumptions'!R35</f>
        <v>3375</v>
      </c>
      <c r="M35" s="262"/>
      <c r="N35" s="101">
        <f>'Budget with Assumptions'!T35</f>
        <v>3375</v>
      </c>
      <c r="O35"/>
      <c r="P35" s="285">
        <f t="shared" si="5"/>
        <v>0.004476166442577075</v>
      </c>
      <c r="Q35" s="285">
        <f t="shared" si="6"/>
        <v>0.0017133154890704447</v>
      </c>
      <c r="R35" s="285">
        <f t="shared" si="7"/>
        <v>0.0016736781012208616</v>
      </c>
      <c r="S35" s="285">
        <f t="shared" si="8"/>
        <v>0.0016609518165674646</v>
      </c>
      <c r="T35" s="285">
        <f t="shared" si="9"/>
        <v>0.001643372102265286</v>
      </c>
      <c r="U35"/>
      <c r="V35" s="292">
        <f t="shared" si="10"/>
        <v>53.19444444444444</v>
      </c>
      <c r="W35" s="292">
        <f t="shared" si="11"/>
        <v>18.75</v>
      </c>
      <c r="X35" s="292">
        <f t="shared" si="12"/>
        <v>18.75</v>
      </c>
      <c r="Y35" s="292">
        <f t="shared" si="13"/>
        <v>18.75</v>
      </c>
      <c r="Z35" s="292">
        <f t="shared" si="14"/>
        <v>18.75</v>
      </c>
    </row>
    <row r="36" spans="1:26" ht="15">
      <c r="A36" s="167" t="str">
        <f>'Budget with Assumptions'!A36</f>
        <v>Student Recruitment</v>
      </c>
      <c r="B36" s="23"/>
      <c r="C36" s="23"/>
      <c r="D36" s="101">
        <f>'Budget with Assumptions'!J36</f>
        <v>9000</v>
      </c>
      <c r="E36" s="271"/>
      <c r="F36" s="101">
        <f>'Budget with Assumptions'!L36</f>
        <v>4500</v>
      </c>
      <c r="G36" s="271"/>
      <c r="H36" s="101">
        <f>'Budget with Assumptions'!N36</f>
        <v>4500</v>
      </c>
      <c r="I36" s="271"/>
      <c r="J36" s="101">
        <f>'Budget with Assumptions'!P36</f>
        <v>4500</v>
      </c>
      <c r="K36" s="272"/>
      <c r="L36" s="101">
        <f>'Budget with Assumptions'!R36</f>
        <v>4500</v>
      </c>
      <c r="M36" s="262"/>
      <c r="N36" s="101">
        <f>'Budget with Assumptions'!T36</f>
        <v>4500</v>
      </c>
      <c r="O36"/>
      <c r="P36" s="285">
        <f t="shared" si="5"/>
        <v>0.0042073627136494695</v>
      </c>
      <c r="Q36" s="285">
        <f t="shared" si="6"/>
        <v>0.0030458942027919017</v>
      </c>
      <c r="R36" s="285">
        <f t="shared" si="7"/>
        <v>0.0022315708016278153</v>
      </c>
      <c r="S36" s="285">
        <f t="shared" si="8"/>
        <v>0.002214602422089953</v>
      </c>
      <c r="T36" s="285">
        <f t="shared" si="9"/>
        <v>0.0021911628030203815</v>
      </c>
      <c r="U36"/>
      <c r="V36" s="292">
        <f t="shared" si="10"/>
        <v>50</v>
      </c>
      <c r="W36" s="292">
        <f t="shared" si="11"/>
        <v>33.333333333333336</v>
      </c>
      <c r="X36" s="292">
        <f t="shared" si="12"/>
        <v>25</v>
      </c>
      <c r="Y36" s="292">
        <f t="shared" si="13"/>
        <v>25</v>
      </c>
      <c r="Z36" s="292">
        <f t="shared" si="14"/>
        <v>25</v>
      </c>
    </row>
    <row r="37" spans="1:26" ht="15">
      <c r="A37" s="167" t="str">
        <f>'Budget with Assumptions'!A37</f>
        <v>Instructional Equipment (non-computer)</v>
      </c>
      <c r="B37" s="23"/>
      <c r="C37" s="23"/>
      <c r="D37" s="101">
        <f>'Budget with Assumptions'!J37</f>
        <v>0</v>
      </c>
      <c r="E37" s="271"/>
      <c r="F37" s="101">
        <f>'Budget with Assumptions'!L37</f>
        <v>9750</v>
      </c>
      <c r="G37" s="271"/>
      <c r="H37" s="101">
        <f>'Budget with Assumptions'!N37</f>
        <v>4500</v>
      </c>
      <c r="I37" s="271"/>
      <c r="J37" s="101">
        <f>'Budget with Assumptions'!P37</f>
        <v>4500</v>
      </c>
      <c r="K37" s="272"/>
      <c r="L37" s="101">
        <f>'Budget with Assumptions'!R37</f>
        <v>0</v>
      </c>
      <c r="M37" s="262"/>
      <c r="N37" s="101">
        <f>'Budget with Assumptions'!T37</f>
        <v>0</v>
      </c>
      <c r="O37"/>
      <c r="P37" s="285">
        <f t="shared" si="5"/>
        <v>0.009115952546240518</v>
      </c>
      <c r="Q37" s="285">
        <f t="shared" si="6"/>
        <v>0.0030458942027919017</v>
      </c>
      <c r="R37" s="285">
        <f t="shared" si="7"/>
        <v>0.0022315708016278153</v>
      </c>
      <c r="S37" s="285">
        <f t="shared" si="8"/>
        <v>0</v>
      </c>
      <c r="T37" s="285">
        <f t="shared" si="9"/>
        <v>0</v>
      </c>
      <c r="U37"/>
      <c r="V37" s="292">
        <f t="shared" si="10"/>
        <v>108.33333333333333</v>
      </c>
      <c r="W37" s="292">
        <f t="shared" si="11"/>
        <v>33.333333333333336</v>
      </c>
      <c r="X37" s="292">
        <f t="shared" si="12"/>
        <v>25</v>
      </c>
      <c r="Y37" s="292">
        <f t="shared" si="13"/>
        <v>0</v>
      </c>
      <c r="Z37" s="292">
        <f t="shared" si="14"/>
        <v>0</v>
      </c>
    </row>
    <row r="38" spans="1:26" ht="15">
      <c r="A38" s="167" t="str">
        <f>'Budget with Assumptions'!A38</f>
        <v>Technology Equipment (e.g., computers, LAN, software, etc.)</v>
      </c>
      <c r="B38" s="23"/>
      <c r="C38" s="23"/>
      <c r="D38" s="101">
        <f>'Budget with Assumptions'!J38</f>
        <v>6000</v>
      </c>
      <c r="E38" s="271"/>
      <c r="F38" s="101">
        <f>'Budget with Assumptions'!L38</f>
        <v>6300</v>
      </c>
      <c r="G38" s="271"/>
      <c r="H38" s="101">
        <f>'Budget with Assumptions'!N38</f>
        <v>5700</v>
      </c>
      <c r="I38" s="271"/>
      <c r="J38" s="101">
        <f>'Budget with Assumptions'!P38</f>
        <v>5700</v>
      </c>
      <c r="K38" s="272"/>
      <c r="L38" s="101">
        <f>'Budget with Assumptions'!R38</f>
        <v>2100</v>
      </c>
      <c r="M38" s="262"/>
      <c r="N38" s="101">
        <f>'Budget with Assumptions'!T38</f>
        <v>2100</v>
      </c>
      <c r="O38"/>
      <c r="P38" s="285">
        <f t="shared" si="5"/>
        <v>0.005890307799109257</v>
      </c>
      <c r="Q38" s="285">
        <f t="shared" si="6"/>
        <v>0.003858132656869742</v>
      </c>
      <c r="R38" s="285">
        <f t="shared" si="7"/>
        <v>0.0028266563487285663</v>
      </c>
      <c r="S38" s="285">
        <f t="shared" si="8"/>
        <v>0.0010334811303086447</v>
      </c>
      <c r="T38" s="285">
        <f t="shared" si="9"/>
        <v>0.0010225426414095112</v>
      </c>
      <c r="U38"/>
      <c r="V38" s="292">
        <f t="shared" si="10"/>
        <v>70</v>
      </c>
      <c r="W38" s="292">
        <f t="shared" si="11"/>
        <v>42.22222222222222</v>
      </c>
      <c r="X38" s="292">
        <f t="shared" si="12"/>
        <v>31.666666666666668</v>
      </c>
      <c r="Y38" s="292">
        <f t="shared" si="13"/>
        <v>11.666666666666666</v>
      </c>
      <c r="Z38" s="292">
        <f t="shared" si="14"/>
        <v>11.666666666666666</v>
      </c>
    </row>
    <row r="39" spans="1:26" ht="15">
      <c r="A39" s="167" t="str">
        <f>'Budget with Assumptions'!A39</f>
        <v>Furniture</v>
      </c>
      <c r="B39" s="23"/>
      <c r="C39" s="23"/>
      <c r="D39" s="101">
        <f>'Budget with Assumptions'!J39</f>
        <v>10400</v>
      </c>
      <c r="E39" s="271"/>
      <c r="F39" s="101">
        <f>'Budget with Assumptions'!L39</f>
        <v>5100</v>
      </c>
      <c r="G39" s="271"/>
      <c r="H39" s="101">
        <f>'Budget with Assumptions'!N39</f>
        <v>5100</v>
      </c>
      <c r="I39" s="271"/>
      <c r="J39" s="101">
        <f>'Budget with Assumptions'!P39</f>
        <v>0</v>
      </c>
      <c r="K39" s="272"/>
      <c r="L39" s="101">
        <f>'Budget with Assumptions'!R39</f>
        <v>0</v>
      </c>
      <c r="M39" s="262"/>
      <c r="N39" s="101">
        <f>'Budget with Assumptions'!T39</f>
        <v>0</v>
      </c>
      <c r="O39"/>
      <c r="P39" s="285">
        <f t="shared" si="5"/>
        <v>0.004768344408802732</v>
      </c>
      <c r="Q39" s="285">
        <f t="shared" si="6"/>
        <v>0.003452013429830822</v>
      </c>
      <c r="R39" s="285">
        <f t="shared" si="7"/>
        <v>0</v>
      </c>
      <c r="S39" s="285">
        <f t="shared" si="8"/>
        <v>0</v>
      </c>
      <c r="T39" s="285">
        <f t="shared" si="9"/>
        <v>0</v>
      </c>
      <c r="U39"/>
      <c r="V39" s="292">
        <f t="shared" si="10"/>
        <v>56.666666666666664</v>
      </c>
      <c r="W39" s="292">
        <f t="shared" si="11"/>
        <v>37.77777777777778</v>
      </c>
      <c r="X39" s="292">
        <f t="shared" si="12"/>
        <v>0</v>
      </c>
      <c r="Y39" s="292">
        <f t="shared" si="13"/>
        <v>0</v>
      </c>
      <c r="Z39" s="292">
        <f t="shared" si="14"/>
        <v>0</v>
      </c>
    </row>
    <row r="40" spans="1:26" ht="15">
      <c r="A40" s="167" t="str">
        <f>'Budget with Assumptions'!A40</f>
        <v>Technology Contracted Services</v>
      </c>
      <c r="B40" s="23"/>
      <c r="C40" s="23"/>
      <c r="D40" s="101">
        <f>'Budget with Assumptions'!J40</f>
        <v>0</v>
      </c>
      <c r="E40" s="271"/>
      <c r="F40" s="101">
        <f>'Budget with Assumptions'!L40</f>
        <v>4800</v>
      </c>
      <c r="G40" s="271"/>
      <c r="H40" s="101">
        <f>'Budget with Assumptions'!N40</f>
        <v>4800</v>
      </c>
      <c r="I40" s="271"/>
      <c r="J40" s="101">
        <f>'Budget with Assumptions'!P40</f>
        <v>4800</v>
      </c>
      <c r="K40" s="272"/>
      <c r="L40" s="101">
        <f>'Budget with Assumptions'!R40</f>
        <v>4800</v>
      </c>
      <c r="M40" s="262"/>
      <c r="N40" s="101">
        <f>'Budget with Assumptions'!T40</f>
        <v>4800</v>
      </c>
      <c r="O40"/>
      <c r="P40" s="285">
        <f t="shared" si="5"/>
        <v>0.004487853561226101</v>
      </c>
      <c r="Q40" s="285">
        <f t="shared" si="6"/>
        <v>0.0032489538163113616</v>
      </c>
      <c r="R40" s="285">
        <f t="shared" si="7"/>
        <v>0.002380342188403003</v>
      </c>
      <c r="S40" s="285">
        <f t="shared" si="8"/>
        <v>0.0023622425835626163</v>
      </c>
      <c r="T40" s="285">
        <f t="shared" si="9"/>
        <v>0.00233724032322174</v>
      </c>
      <c r="U40"/>
      <c r="V40" s="292">
        <f t="shared" si="10"/>
        <v>53.333333333333336</v>
      </c>
      <c r="W40" s="292">
        <f t="shared" si="11"/>
        <v>35.55555555555556</v>
      </c>
      <c r="X40" s="292">
        <f t="shared" si="12"/>
        <v>26.666666666666668</v>
      </c>
      <c r="Y40" s="292">
        <f t="shared" si="13"/>
        <v>26.666666666666668</v>
      </c>
      <c r="Z40" s="292">
        <f t="shared" si="14"/>
        <v>26.666666666666668</v>
      </c>
    </row>
    <row r="41" spans="1:26" ht="15">
      <c r="A41" s="167" t="str">
        <f>'Budget with Assumptions'!A41</f>
        <v>Technology Leases</v>
      </c>
      <c r="B41" s="23"/>
      <c r="C41" s="23"/>
      <c r="D41" s="101">
        <f>'Budget with Assumptions'!J41</f>
        <v>0</v>
      </c>
      <c r="E41" s="271"/>
      <c r="F41" s="101">
        <f>'Budget with Assumptions'!L41</f>
        <v>10000</v>
      </c>
      <c r="G41" s="271"/>
      <c r="H41" s="101">
        <f>'Budget with Assumptions'!N41</f>
        <v>10000</v>
      </c>
      <c r="I41" s="271"/>
      <c r="J41" s="101">
        <f>'Budget with Assumptions'!P41</f>
        <v>10000</v>
      </c>
      <c r="K41" s="272"/>
      <c r="L41" s="101">
        <f>'Budget with Assumptions'!R41</f>
        <v>10000</v>
      </c>
      <c r="M41" s="262"/>
      <c r="N41" s="101">
        <f>'Budget with Assumptions'!T41</f>
        <v>10000</v>
      </c>
      <c r="O41"/>
      <c r="P41" s="285">
        <f t="shared" si="5"/>
        <v>0.009349694919221043</v>
      </c>
      <c r="Q41" s="285">
        <f t="shared" si="6"/>
        <v>0.006768653783982004</v>
      </c>
      <c r="R41" s="285">
        <f t="shared" si="7"/>
        <v>0.00495904622583959</v>
      </c>
      <c r="S41" s="285">
        <f t="shared" si="8"/>
        <v>0.0049213387157554505</v>
      </c>
      <c r="T41" s="285">
        <f t="shared" si="9"/>
        <v>0.004869250673378625</v>
      </c>
      <c r="U41"/>
      <c r="V41" s="292">
        <f t="shared" si="10"/>
        <v>111.11111111111111</v>
      </c>
      <c r="W41" s="292">
        <f t="shared" si="11"/>
        <v>74.07407407407408</v>
      </c>
      <c r="X41" s="292">
        <f t="shared" si="12"/>
        <v>55.55555555555556</v>
      </c>
      <c r="Y41" s="292">
        <f t="shared" si="13"/>
        <v>55.55555555555556</v>
      </c>
      <c r="Z41" s="292">
        <f t="shared" si="14"/>
        <v>55.55555555555556</v>
      </c>
    </row>
    <row r="42" spans="1:26" ht="15">
      <c r="A42" s="167" t="str">
        <f>'Budget with Assumptions'!A42</f>
        <v>Extracurricular Expenses</v>
      </c>
      <c r="B42" s="23"/>
      <c r="C42" s="23"/>
      <c r="D42" s="101">
        <f>'Budget with Assumptions'!J42</f>
        <v>0</v>
      </c>
      <c r="E42" s="271"/>
      <c r="F42" s="101">
        <f>'Budget with Assumptions'!L42</f>
        <v>0</v>
      </c>
      <c r="G42" s="271"/>
      <c r="H42" s="101">
        <f>'Budget with Assumptions'!N42</f>
        <v>0</v>
      </c>
      <c r="I42" s="271"/>
      <c r="J42" s="101">
        <f>'Budget with Assumptions'!P42</f>
        <v>0</v>
      </c>
      <c r="K42" s="272"/>
      <c r="L42" s="101">
        <f>'Budget with Assumptions'!R42</f>
        <v>0</v>
      </c>
      <c r="M42" s="262"/>
      <c r="N42" s="101">
        <f>'Budget with Assumptions'!T42</f>
        <v>0</v>
      </c>
      <c r="O42"/>
      <c r="P42" s="285">
        <f t="shared" si="5"/>
        <v>0</v>
      </c>
      <c r="Q42" s="285">
        <f t="shared" si="6"/>
        <v>0</v>
      </c>
      <c r="R42" s="285">
        <f t="shared" si="7"/>
        <v>0</v>
      </c>
      <c r="S42" s="285">
        <f t="shared" si="8"/>
        <v>0</v>
      </c>
      <c r="T42" s="285">
        <f t="shared" si="9"/>
        <v>0</v>
      </c>
      <c r="U42"/>
      <c r="V42" s="292">
        <f t="shared" si="10"/>
        <v>0</v>
      </c>
      <c r="W42" s="292">
        <f t="shared" si="11"/>
        <v>0</v>
      </c>
      <c r="X42" s="292">
        <f t="shared" si="12"/>
        <v>0</v>
      </c>
      <c r="Y42" s="292">
        <f t="shared" si="13"/>
        <v>0</v>
      </c>
      <c r="Z42" s="292">
        <f t="shared" si="14"/>
        <v>0</v>
      </c>
    </row>
    <row r="43" spans="1:26" ht="15">
      <c r="A43" s="167" t="str">
        <f>'Budget with Assumptions'!A43</f>
        <v>Misc. Outside Services (i.e., Consultants, non-employee compensation)</v>
      </c>
      <c r="B43" s="23"/>
      <c r="C43" s="23"/>
      <c r="D43" s="101">
        <f>'Budget with Assumptions'!J43</f>
        <v>0</v>
      </c>
      <c r="E43" s="271"/>
      <c r="F43" s="101">
        <f>'Budget with Assumptions'!L43</f>
        <v>0</v>
      </c>
      <c r="G43" s="271"/>
      <c r="H43" s="101">
        <f>'Budget with Assumptions'!N43</f>
        <v>0</v>
      </c>
      <c r="I43" s="271"/>
      <c r="J43" s="101">
        <f>'Budget with Assumptions'!P43</f>
        <v>0</v>
      </c>
      <c r="K43" s="272"/>
      <c r="L43" s="101">
        <f>'Budget with Assumptions'!R43</f>
        <v>0</v>
      </c>
      <c r="M43" s="262"/>
      <c r="N43" s="101">
        <f>'Budget with Assumptions'!T43</f>
        <v>0</v>
      </c>
      <c r="O43"/>
      <c r="P43" s="285">
        <f t="shared" si="5"/>
        <v>0</v>
      </c>
      <c r="Q43" s="285">
        <f t="shared" si="6"/>
        <v>0</v>
      </c>
      <c r="R43" s="285">
        <f t="shared" si="7"/>
        <v>0</v>
      </c>
      <c r="S43" s="285">
        <f t="shared" si="8"/>
        <v>0</v>
      </c>
      <c r="T43" s="285">
        <f t="shared" si="9"/>
        <v>0</v>
      </c>
      <c r="U43"/>
      <c r="V43" s="292">
        <f t="shared" si="10"/>
        <v>0</v>
      </c>
      <c r="W43" s="292">
        <f t="shared" si="11"/>
        <v>0</v>
      </c>
      <c r="X43" s="292">
        <f t="shared" si="12"/>
        <v>0</v>
      </c>
      <c r="Y43" s="292">
        <f t="shared" si="13"/>
        <v>0</v>
      </c>
      <c r="Z43" s="292">
        <f t="shared" si="14"/>
        <v>0</v>
      </c>
    </row>
    <row r="44" spans="1:26" ht="30" hidden="1">
      <c r="A44" s="244" t="str">
        <f>'Budget with Assumptions'!A44</f>
        <v>Special Education Contracted Clinician Services that are Reimbursable under CPS's policy (from Contractual Clinician Worksheet)</v>
      </c>
      <c r="B44" s="23"/>
      <c r="C44" s="23"/>
      <c r="D44" s="101">
        <f>'Budget with Assumptions'!J44</f>
        <v>0</v>
      </c>
      <c r="E44" s="271"/>
      <c r="F44" s="101">
        <f>'Budget with Assumptions'!L44</f>
        <v>0</v>
      </c>
      <c r="G44" s="271"/>
      <c r="H44" s="101">
        <f>'Budget with Assumptions'!N44</f>
        <v>0</v>
      </c>
      <c r="I44" s="271"/>
      <c r="J44" s="101">
        <f>'Budget with Assumptions'!P44</f>
        <v>0</v>
      </c>
      <c r="K44" s="272"/>
      <c r="L44" s="101">
        <f>'Budget with Assumptions'!R44</f>
        <v>0</v>
      </c>
      <c r="M44" s="262"/>
      <c r="N44" s="101">
        <f>'Budget with Assumptions'!T44</f>
        <v>0</v>
      </c>
      <c r="O44"/>
      <c r="P44" s="285">
        <f t="shared" si="5"/>
        <v>0</v>
      </c>
      <c r="Q44" s="285">
        <f t="shared" si="6"/>
        <v>0</v>
      </c>
      <c r="R44" s="285">
        <f t="shared" si="7"/>
        <v>0</v>
      </c>
      <c r="S44" s="285">
        <f t="shared" si="8"/>
        <v>0</v>
      </c>
      <c r="T44" s="285">
        <f t="shared" si="9"/>
        <v>0</v>
      </c>
      <c r="U44"/>
      <c r="V44" s="292">
        <f t="shared" si="10"/>
        <v>0</v>
      </c>
      <c r="W44" s="292">
        <f t="shared" si="11"/>
        <v>0</v>
      </c>
      <c r="X44" s="292">
        <f t="shared" si="12"/>
        <v>0</v>
      </c>
      <c r="Y44" s="292">
        <f t="shared" si="13"/>
        <v>0</v>
      </c>
      <c r="Z44" s="292">
        <f t="shared" si="14"/>
        <v>0</v>
      </c>
    </row>
    <row r="45" spans="1:26" ht="15">
      <c r="A45" s="167" t="str">
        <f>'Budget with Assumptions'!A45</f>
        <v>Special Education Expenses that will NOT be reimbursed by CPS</v>
      </c>
      <c r="B45" s="23"/>
      <c r="C45" s="23"/>
      <c r="D45" s="101">
        <f>'Budget with Assumptions'!J45</f>
        <v>0</v>
      </c>
      <c r="E45" s="271"/>
      <c r="F45" s="101">
        <f>'Budget with Assumptions'!L45</f>
        <v>27000</v>
      </c>
      <c r="G45" s="271"/>
      <c r="H45" s="101">
        <f>'Budget with Assumptions'!N45</f>
        <v>40500</v>
      </c>
      <c r="I45" s="271"/>
      <c r="J45" s="101">
        <f>'Budget with Assumptions'!P45</f>
        <v>54000</v>
      </c>
      <c r="K45" s="272"/>
      <c r="L45" s="101">
        <f>'Budget with Assumptions'!R45</f>
        <v>54000</v>
      </c>
      <c r="M45" s="262"/>
      <c r="N45" s="101">
        <f>'Budget with Assumptions'!T45</f>
        <v>54000</v>
      </c>
      <c r="O45"/>
      <c r="P45" s="285">
        <f t="shared" si="5"/>
        <v>0.02524417628189682</v>
      </c>
      <c r="Q45" s="285">
        <f t="shared" si="6"/>
        <v>0.027413047825127115</v>
      </c>
      <c r="R45" s="285">
        <f t="shared" si="7"/>
        <v>0.026778849619533786</v>
      </c>
      <c r="S45" s="285">
        <f t="shared" si="8"/>
        <v>0.026575229065079434</v>
      </c>
      <c r="T45" s="285">
        <f t="shared" si="9"/>
        <v>0.026293953636244576</v>
      </c>
      <c r="U45"/>
      <c r="V45" s="292">
        <f t="shared" si="10"/>
        <v>300</v>
      </c>
      <c r="W45" s="292">
        <f t="shared" si="11"/>
        <v>300</v>
      </c>
      <c r="X45" s="292">
        <f t="shared" si="12"/>
        <v>300</v>
      </c>
      <c r="Y45" s="292">
        <f t="shared" si="13"/>
        <v>300</v>
      </c>
      <c r="Z45" s="292">
        <f t="shared" si="14"/>
        <v>300</v>
      </c>
    </row>
    <row r="46" spans="1:26" ht="15">
      <c r="A46" s="167" t="str">
        <f>'Budget with Assumptions'!A46</f>
        <v>Contracted Substitute Teachers</v>
      </c>
      <c r="B46" s="23"/>
      <c r="C46" s="23"/>
      <c r="D46" s="101">
        <f>'Budget with Assumptions'!J46</f>
        <v>0</v>
      </c>
      <c r="E46" s="271"/>
      <c r="F46" s="101">
        <f>'Budget with Assumptions'!L46</f>
        <v>0</v>
      </c>
      <c r="G46" s="271"/>
      <c r="H46" s="101">
        <f>'Budget with Assumptions'!N46</f>
        <v>0</v>
      </c>
      <c r="I46" s="271"/>
      <c r="J46" s="101">
        <f>'Budget with Assumptions'!P46</f>
        <v>0</v>
      </c>
      <c r="K46" s="272"/>
      <c r="L46" s="101">
        <f>'Budget with Assumptions'!R46</f>
        <v>0</v>
      </c>
      <c r="M46" s="262"/>
      <c r="N46" s="101">
        <f>'Budget with Assumptions'!T46</f>
        <v>0</v>
      </c>
      <c r="O46"/>
      <c r="P46" s="285">
        <f t="shared" si="5"/>
        <v>0</v>
      </c>
      <c r="Q46" s="285">
        <f t="shared" si="6"/>
        <v>0</v>
      </c>
      <c r="R46" s="285">
        <f t="shared" si="7"/>
        <v>0</v>
      </c>
      <c r="S46" s="285">
        <f t="shared" si="8"/>
        <v>0</v>
      </c>
      <c r="T46" s="285">
        <f t="shared" si="9"/>
        <v>0</v>
      </c>
      <c r="U46"/>
      <c r="V46" s="292">
        <f t="shared" si="10"/>
        <v>0</v>
      </c>
      <c r="W46" s="292">
        <f t="shared" si="11"/>
        <v>0</v>
      </c>
      <c r="X46" s="292">
        <f t="shared" si="12"/>
        <v>0</v>
      </c>
      <c r="Y46" s="292">
        <f t="shared" si="13"/>
        <v>0</v>
      </c>
      <c r="Z46" s="292">
        <f t="shared" si="14"/>
        <v>0</v>
      </c>
    </row>
    <row r="47" spans="1:26" ht="15">
      <c r="A47" s="167" t="str">
        <f>'Budget with Assumptions'!A47</f>
        <v>Transportation Services</v>
      </c>
      <c r="B47" s="23"/>
      <c r="C47" s="23"/>
      <c r="D47" s="101">
        <f>'Budget with Assumptions'!J47</f>
        <v>0</v>
      </c>
      <c r="E47" s="271"/>
      <c r="F47" s="101">
        <f>'Budget with Assumptions'!L47</f>
        <v>0</v>
      </c>
      <c r="G47" s="271"/>
      <c r="H47" s="101">
        <f>'Budget with Assumptions'!N47</f>
        <v>0</v>
      </c>
      <c r="I47" s="271"/>
      <c r="J47" s="101">
        <f>'Budget with Assumptions'!P47</f>
        <v>0</v>
      </c>
      <c r="K47" s="272"/>
      <c r="L47" s="101">
        <f>'Budget with Assumptions'!R47</f>
        <v>0</v>
      </c>
      <c r="M47" s="262"/>
      <c r="N47" s="101">
        <f>'Budget with Assumptions'!T47</f>
        <v>0</v>
      </c>
      <c r="O47"/>
      <c r="P47" s="285">
        <f t="shared" si="5"/>
        <v>0</v>
      </c>
      <c r="Q47" s="285">
        <f t="shared" si="6"/>
        <v>0</v>
      </c>
      <c r="R47" s="285">
        <f t="shared" si="7"/>
        <v>0</v>
      </c>
      <c r="S47" s="285">
        <f t="shared" si="8"/>
        <v>0</v>
      </c>
      <c r="T47" s="285">
        <f t="shared" si="9"/>
        <v>0</v>
      </c>
      <c r="U47"/>
      <c r="V47" s="292">
        <f t="shared" si="10"/>
        <v>0</v>
      </c>
      <c r="W47" s="292">
        <f t="shared" si="11"/>
        <v>0</v>
      </c>
      <c r="X47" s="292">
        <f t="shared" si="12"/>
        <v>0</v>
      </c>
      <c r="Y47" s="292">
        <f t="shared" si="13"/>
        <v>0</v>
      </c>
      <c r="Z47" s="292">
        <f t="shared" si="14"/>
        <v>0</v>
      </c>
    </row>
    <row r="48" spans="1:26" ht="15">
      <c r="A48" s="167" t="str">
        <f>'Budget with Assumptions'!A48</f>
        <v>Student Supplemental Materials</v>
      </c>
      <c r="B48" s="23"/>
      <c r="C48" s="23"/>
      <c r="D48" s="101">
        <f>'Budget with Assumptions'!J48</f>
        <v>0</v>
      </c>
      <c r="E48" s="271"/>
      <c r="F48" s="101">
        <f>'Budget with Assumptions'!L48</f>
        <v>1200</v>
      </c>
      <c r="G48" s="271"/>
      <c r="H48" s="101">
        <f>'Budget with Assumptions'!N48</f>
        <v>1800</v>
      </c>
      <c r="I48" s="271"/>
      <c r="J48" s="101">
        <f>'Budget with Assumptions'!P48</f>
        <v>2400</v>
      </c>
      <c r="K48" s="272"/>
      <c r="L48" s="101">
        <f>'Budget with Assumptions'!R48</f>
        <v>2400</v>
      </c>
      <c r="M48" s="262"/>
      <c r="N48" s="101">
        <f>'Budget with Assumptions'!T48</f>
        <v>2400</v>
      </c>
      <c r="O48"/>
      <c r="P48" s="285">
        <f t="shared" si="5"/>
        <v>0.0011219633903065253</v>
      </c>
      <c r="Q48" s="285">
        <f t="shared" si="6"/>
        <v>0.0012183576811167606</v>
      </c>
      <c r="R48" s="285">
        <f t="shared" si="7"/>
        <v>0.0011901710942015015</v>
      </c>
      <c r="S48" s="285">
        <f t="shared" si="8"/>
        <v>0.0011811212917813081</v>
      </c>
      <c r="T48" s="285">
        <f t="shared" si="9"/>
        <v>0.00116862016161087</v>
      </c>
      <c r="U48"/>
      <c r="V48" s="292">
        <f t="shared" si="10"/>
        <v>13.333333333333334</v>
      </c>
      <c r="W48" s="292">
        <f t="shared" si="11"/>
        <v>13.333333333333334</v>
      </c>
      <c r="X48" s="292">
        <f t="shared" si="12"/>
        <v>13.333333333333334</v>
      </c>
      <c r="Y48" s="292">
        <f t="shared" si="13"/>
        <v>13.333333333333334</v>
      </c>
      <c r="Z48" s="292">
        <f t="shared" si="14"/>
        <v>13.333333333333334</v>
      </c>
    </row>
    <row r="49" spans="1:26" ht="15">
      <c r="A49" s="167" t="str">
        <f>'Budget with Assumptions'!A49</f>
        <v>Student Uniforms</v>
      </c>
      <c r="B49" s="23"/>
      <c r="C49" s="23"/>
      <c r="D49" s="101">
        <f>'Budget with Assumptions'!J49</f>
        <v>0</v>
      </c>
      <c r="E49" s="271"/>
      <c r="F49" s="101">
        <f>'Budget with Assumptions'!L49</f>
        <v>1000</v>
      </c>
      <c r="G49" s="271"/>
      <c r="H49" s="101">
        <f>'Budget with Assumptions'!N49</f>
        <v>1125</v>
      </c>
      <c r="I49" s="271"/>
      <c r="J49" s="101">
        <f>'Budget with Assumptions'!P49</f>
        <v>1500</v>
      </c>
      <c r="K49" s="272"/>
      <c r="L49" s="101">
        <f>'Budget with Assumptions'!R49</f>
        <v>1500</v>
      </c>
      <c r="M49" s="262"/>
      <c r="N49" s="101">
        <f>'Budget with Assumptions'!T49</f>
        <v>1500</v>
      </c>
      <c r="O49"/>
      <c r="P49" s="285">
        <f t="shared" si="5"/>
        <v>0.0009349694919221043</v>
      </c>
      <c r="Q49" s="285">
        <f t="shared" si="6"/>
        <v>0.0007614735506979754</v>
      </c>
      <c r="R49" s="285">
        <f t="shared" si="7"/>
        <v>0.0007438569338759385</v>
      </c>
      <c r="S49" s="285">
        <f t="shared" si="8"/>
        <v>0.0007382008073633175</v>
      </c>
      <c r="T49" s="285">
        <f t="shared" si="9"/>
        <v>0.0007303876010067938</v>
      </c>
      <c r="U49"/>
      <c r="V49" s="292">
        <f t="shared" si="10"/>
        <v>11.11111111111111</v>
      </c>
      <c r="W49" s="292">
        <f t="shared" si="11"/>
        <v>8.333333333333334</v>
      </c>
      <c r="X49" s="292">
        <f t="shared" si="12"/>
        <v>8.333333333333334</v>
      </c>
      <c r="Y49" s="292">
        <f t="shared" si="13"/>
        <v>8.333333333333334</v>
      </c>
      <c r="Z49" s="292">
        <f t="shared" si="14"/>
        <v>8.333333333333334</v>
      </c>
    </row>
    <row r="50" spans="1:26" ht="15">
      <c r="A50" s="167" t="str">
        <f>'Budget with Assumptions'!A50</f>
        <v>Student Culture</v>
      </c>
      <c r="B50" s="23"/>
      <c r="C50" s="23"/>
      <c r="D50" s="101">
        <f>'Budget with Assumptions'!J50</f>
        <v>0</v>
      </c>
      <c r="E50" s="271"/>
      <c r="F50" s="101">
        <f>'Budget with Assumptions'!L50</f>
        <v>900</v>
      </c>
      <c r="G50" s="271"/>
      <c r="H50" s="101">
        <f>'Budget with Assumptions'!N50</f>
        <v>1350</v>
      </c>
      <c r="I50" s="271"/>
      <c r="J50" s="101">
        <f>'Budget with Assumptions'!P50</f>
        <v>1800</v>
      </c>
      <c r="K50" s="272"/>
      <c r="L50" s="101">
        <f>'Budget with Assumptions'!R50</f>
        <v>1800</v>
      </c>
      <c r="M50" s="262"/>
      <c r="N50" s="101">
        <f>'Budget with Assumptions'!T50</f>
        <v>1800</v>
      </c>
      <c r="O50"/>
      <c r="P50" s="285">
        <f t="shared" si="5"/>
        <v>0.0008414725427298939</v>
      </c>
      <c r="Q50" s="285">
        <f t="shared" si="6"/>
        <v>0.0009137682608375704</v>
      </c>
      <c r="R50" s="285">
        <f t="shared" si="7"/>
        <v>0.0008926283206511261</v>
      </c>
      <c r="S50" s="285">
        <f t="shared" si="8"/>
        <v>0.0008858409688359811</v>
      </c>
      <c r="T50" s="285">
        <f t="shared" si="9"/>
        <v>0.0008764651212081526</v>
      </c>
      <c r="U50"/>
      <c r="V50" s="292">
        <f t="shared" si="10"/>
        <v>10</v>
      </c>
      <c r="W50" s="292">
        <f t="shared" si="11"/>
        <v>10</v>
      </c>
      <c r="X50" s="292">
        <f t="shared" si="12"/>
        <v>10</v>
      </c>
      <c r="Y50" s="292">
        <f t="shared" si="13"/>
        <v>10</v>
      </c>
      <c r="Z50" s="292">
        <f t="shared" si="14"/>
        <v>10</v>
      </c>
    </row>
    <row r="51" spans="1:26" ht="15">
      <c r="A51" s="167" t="str">
        <f>'Budget with Assumptions'!A51</f>
        <v>Physical Education Materials</v>
      </c>
      <c r="B51" s="23"/>
      <c r="C51" s="23"/>
      <c r="D51" s="101">
        <f>'Budget with Assumptions'!J51</f>
        <v>0</v>
      </c>
      <c r="E51" s="271"/>
      <c r="F51" s="101">
        <f>'Budget with Assumptions'!L51</f>
        <v>500</v>
      </c>
      <c r="G51" s="271"/>
      <c r="H51" s="101">
        <f>'Budget with Assumptions'!N51</f>
        <v>500</v>
      </c>
      <c r="I51" s="271"/>
      <c r="J51" s="101">
        <f>'Budget with Assumptions'!P51</f>
        <v>500</v>
      </c>
      <c r="K51" s="272"/>
      <c r="L51" s="101">
        <f>'Budget with Assumptions'!R51</f>
        <v>500</v>
      </c>
      <c r="M51" s="262"/>
      <c r="N51" s="101">
        <f>'Budget with Assumptions'!T51</f>
        <v>500</v>
      </c>
      <c r="O51"/>
      <c r="P51" s="285">
        <f t="shared" si="5"/>
        <v>0.00046748474596105215</v>
      </c>
      <c r="Q51" s="285">
        <f t="shared" si="6"/>
        <v>0.0003384326891991002</v>
      </c>
      <c r="R51" s="285">
        <f t="shared" si="7"/>
        <v>0.0002479523112919795</v>
      </c>
      <c r="S51" s="285">
        <f t="shared" si="8"/>
        <v>0.00024606693578777255</v>
      </c>
      <c r="T51" s="285">
        <f t="shared" si="9"/>
        <v>0.00024346253366893127</v>
      </c>
      <c r="U51"/>
      <c r="V51" s="292">
        <f t="shared" si="10"/>
        <v>5.555555555555555</v>
      </c>
      <c r="W51" s="292">
        <f t="shared" si="11"/>
        <v>3.7037037037037037</v>
      </c>
      <c r="X51" s="292">
        <f t="shared" si="12"/>
        <v>2.7777777777777777</v>
      </c>
      <c r="Y51" s="292">
        <f t="shared" si="13"/>
        <v>2.7777777777777777</v>
      </c>
      <c r="Z51" s="292">
        <f t="shared" si="14"/>
        <v>2.7777777777777777</v>
      </c>
    </row>
    <row r="52" spans="1:26" ht="15">
      <c r="A52" s="167" t="str">
        <f>'Budget with Assumptions'!A52</f>
        <v>Art Supplies</v>
      </c>
      <c r="B52" s="23"/>
      <c r="C52" s="23"/>
      <c r="D52" s="101">
        <f>'Budget with Assumptions'!J52</f>
        <v>0</v>
      </c>
      <c r="E52" s="271"/>
      <c r="F52" s="101">
        <f>'Budget with Assumptions'!L52</f>
        <v>500</v>
      </c>
      <c r="G52" s="271"/>
      <c r="H52" s="101">
        <f>'Budget with Assumptions'!N52</f>
        <v>500</v>
      </c>
      <c r="I52" s="271"/>
      <c r="J52" s="101">
        <f>'Budget with Assumptions'!P52</f>
        <v>500</v>
      </c>
      <c r="K52" s="272"/>
      <c r="L52" s="101">
        <f>'Budget with Assumptions'!R52</f>
        <v>500</v>
      </c>
      <c r="M52" s="262"/>
      <c r="N52" s="101">
        <f>'Budget with Assumptions'!T52</f>
        <v>500</v>
      </c>
      <c r="O52"/>
      <c r="P52" s="285">
        <f t="shared" si="5"/>
        <v>0.00046748474596105215</v>
      </c>
      <c r="Q52" s="285">
        <f t="shared" si="6"/>
        <v>0.0003384326891991002</v>
      </c>
      <c r="R52" s="285">
        <f t="shared" si="7"/>
        <v>0.0002479523112919795</v>
      </c>
      <c r="S52" s="285">
        <f t="shared" si="8"/>
        <v>0.00024606693578777255</v>
      </c>
      <c r="T52" s="285">
        <f t="shared" si="9"/>
        <v>0.00024346253366893127</v>
      </c>
      <c r="U52"/>
      <c r="V52" s="292">
        <f t="shared" si="10"/>
        <v>5.555555555555555</v>
      </c>
      <c r="W52" s="292">
        <f t="shared" si="11"/>
        <v>3.7037037037037037</v>
      </c>
      <c r="X52" s="292">
        <f t="shared" si="12"/>
        <v>2.7777777777777777</v>
      </c>
      <c r="Y52" s="292">
        <f t="shared" si="13"/>
        <v>2.7777777777777777</v>
      </c>
      <c r="Z52" s="292">
        <f t="shared" si="14"/>
        <v>2.7777777777777777</v>
      </c>
    </row>
    <row r="53" spans="1:26" ht="15">
      <c r="A53" s="167" t="str">
        <f>'Budget with Assumptions'!A53</f>
        <v>Field Trips</v>
      </c>
      <c r="B53" s="23"/>
      <c r="C53" s="23"/>
      <c r="D53" s="101">
        <f>'Budget with Assumptions'!J53</f>
        <v>0</v>
      </c>
      <c r="E53" s="271"/>
      <c r="F53" s="101">
        <f>'Budget with Assumptions'!L53</f>
        <v>1125</v>
      </c>
      <c r="G53" s="271"/>
      <c r="H53" s="101">
        <f>'Budget with Assumptions'!N53</f>
        <v>1687.5</v>
      </c>
      <c r="I53" s="271"/>
      <c r="J53" s="101">
        <f>'Budget with Assumptions'!P53</f>
        <v>2250</v>
      </c>
      <c r="K53" s="272"/>
      <c r="L53" s="101">
        <f>'Budget with Assumptions'!R53</f>
        <v>2250</v>
      </c>
      <c r="M53" s="262"/>
      <c r="N53" s="101">
        <f>'Budget with Assumptions'!T53</f>
        <v>2250</v>
      </c>
      <c r="O53"/>
      <c r="P53" s="285">
        <f t="shared" si="5"/>
        <v>0.0010518406784123674</v>
      </c>
      <c r="Q53" s="285">
        <f t="shared" si="6"/>
        <v>0.0011422103260469631</v>
      </c>
      <c r="R53" s="285">
        <f t="shared" si="7"/>
        <v>0.0011157854008139077</v>
      </c>
      <c r="S53" s="285">
        <f t="shared" si="8"/>
        <v>0.0011073012110449764</v>
      </c>
      <c r="T53" s="285">
        <f t="shared" si="9"/>
        <v>0.0010955814015101907</v>
      </c>
      <c r="U53"/>
      <c r="V53" s="292">
        <f t="shared" si="10"/>
        <v>12.5</v>
      </c>
      <c r="W53" s="292">
        <f t="shared" si="11"/>
        <v>12.5</v>
      </c>
      <c r="X53" s="292">
        <f t="shared" si="12"/>
        <v>12.5</v>
      </c>
      <c r="Y53" s="292">
        <f t="shared" si="13"/>
        <v>12.5</v>
      </c>
      <c r="Z53" s="292">
        <f t="shared" si="14"/>
        <v>12.5</v>
      </c>
    </row>
    <row r="54" spans="1:26" ht="15">
      <c r="A54" s="167" t="str">
        <f>'Budget with Assumptions'!A54</f>
        <v>Data System</v>
      </c>
      <c r="B54" s="23"/>
      <c r="C54" s="23"/>
      <c r="D54" s="101">
        <f>'Budget with Assumptions'!J54</f>
        <v>0</v>
      </c>
      <c r="E54" s="271"/>
      <c r="F54" s="101">
        <f>'Budget with Assumptions'!L54</f>
        <v>10000</v>
      </c>
      <c r="G54" s="271"/>
      <c r="H54" s="101">
        <f>'Budget with Assumptions'!N54</f>
        <v>10000</v>
      </c>
      <c r="I54" s="271"/>
      <c r="J54" s="101">
        <f>'Budget with Assumptions'!P54</f>
        <v>10000</v>
      </c>
      <c r="K54" s="272"/>
      <c r="L54" s="101">
        <f>'Budget with Assumptions'!R54</f>
        <v>10000</v>
      </c>
      <c r="M54" s="262"/>
      <c r="N54" s="101">
        <f>'Budget with Assumptions'!T54</f>
        <v>10000</v>
      </c>
      <c r="O54"/>
      <c r="P54" s="285">
        <f t="shared" si="5"/>
        <v>0.009349694919221043</v>
      </c>
      <c r="Q54" s="285">
        <f t="shared" si="6"/>
        <v>0.006768653783982004</v>
      </c>
      <c r="R54" s="285">
        <f t="shared" si="7"/>
        <v>0.00495904622583959</v>
      </c>
      <c r="S54" s="285">
        <f t="shared" si="8"/>
        <v>0.0049213387157554505</v>
      </c>
      <c r="T54" s="285">
        <f t="shared" si="9"/>
        <v>0.004869250673378625</v>
      </c>
      <c r="U54"/>
      <c r="V54" s="292">
        <f t="shared" si="10"/>
        <v>111.11111111111111</v>
      </c>
      <c r="W54" s="292">
        <f t="shared" si="11"/>
        <v>74.07407407407408</v>
      </c>
      <c r="X54" s="292">
        <f t="shared" si="12"/>
        <v>55.55555555555556</v>
      </c>
      <c r="Y54" s="292">
        <f t="shared" si="13"/>
        <v>55.55555555555556</v>
      </c>
      <c r="Z54" s="292">
        <f t="shared" si="14"/>
        <v>55.55555555555556</v>
      </c>
    </row>
    <row r="55" spans="1:26" ht="15">
      <c r="A55" s="167" t="str">
        <f>'Budget with Assumptions'!A55</f>
        <v>Family Engagement</v>
      </c>
      <c r="B55" s="23"/>
      <c r="C55" s="23"/>
      <c r="D55" s="101">
        <f>'Budget with Assumptions'!J55</f>
        <v>0</v>
      </c>
      <c r="E55" s="271"/>
      <c r="F55" s="101">
        <f>'Budget with Assumptions'!L55</f>
        <v>1000</v>
      </c>
      <c r="G55" s="271"/>
      <c r="H55" s="101">
        <f>'Budget with Assumptions'!N55</f>
        <v>1000</v>
      </c>
      <c r="I55" s="271"/>
      <c r="J55" s="101">
        <f>'Budget with Assumptions'!P55</f>
        <v>1000</v>
      </c>
      <c r="K55" s="272"/>
      <c r="L55" s="101">
        <f>'Budget with Assumptions'!R55</f>
        <v>1000</v>
      </c>
      <c r="M55" s="262"/>
      <c r="N55" s="101">
        <f>'Budget with Assumptions'!T55</f>
        <v>1000</v>
      </c>
      <c r="O55"/>
      <c r="P55" s="285">
        <f t="shared" si="5"/>
        <v>0.0009349694919221043</v>
      </c>
      <c r="Q55" s="285">
        <f t="shared" si="6"/>
        <v>0.0006768653783982004</v>
      </c>
      <c r="R55" s="285">
        <f t="shared" si="7"/>
        <v>0.000495904622583959</v>
      </c>
      <c r="S55" s="285">
        <f t="shared" si="8"/>
        <v>0.0004921338715755451</v>
      </c>
      <c r="T55" s="285">
        <f t="shared" si="9"/>
        <v>0.00048692506733786253</v>
      </c>
      <c r="U55"/>
      <c r="V55" s="292">
        <f t="shared" si="10"/>
        <v>11.11111111111111</v>
      </c>
      <c r="W55" s="292">
        <f t="shared" si="11"/>
        <v>7.407407407407407</v>
      </c>
      <c r="X55" s="292">
        <f t="shared" si="12"/>
        <v>5.555555555555555</v>
      </c>
      <c r="Y55" s="292">
        <f t="shared" si="13"/>
        <v>5.555555555555555</v>
      </c>
      <c r="Z55" s="292">
        <f t="shared" si="14"/>
        <v>5.555555555555555</v>
      </c>
    </row>
    <row r="56" spans="1:26" ht="15" thickBot="1">
      <c r="A56" s="22"/>
      <c r="B56" s="23"/>
      <c r="C56" s="23"/>
      <c r="D56" s="195"/>
      <c r="E56" s="195"/>
      <c r="F56" s="195"/>
      <c r="G56" s="195"/>
      <c r="H56" s="195"/>
      <c r="I56" s="195"/>
      <c r="J56" s="195"/>
      <c r="K56" s="248"/>
      <c r="L56" s="195"/>
      <c r="M56" s="248"/>
      <c r="N56" s="195"/>
      <c r="P56" s="287"/>
      <c r="Q56" s="287"/>
      <c r="R56" s="287"/>
      <c r="S56" s="287"/>
      <c r="T56" s="287"/>
      <c r="V56" s="195"/>
      <c r="W56" s="195"/>
      <c r="X56" s="195"/>
      <c r="Y56" s="195"/>
      <c r="Z56" s="195"/>
    </row>
    <row r="57" spans="1:26" ht="15" thickBot="1">
      <c r="A57" s="245" t="str">
        <f>'Budget with Assumptions'!H57</f>
        <v>Total Direct Student Costs</v>
      </c>
      <c r="B57" s="23"/>
      <c r="C57" s="23"/>
      <c r="D57" s="132">
        <f>SUM(D33:D55)</f>
        <v>25400</v>
      </c>
      <c r="E57" s="98"/>
      <c r="F57" s="132">
        <f>SUM(F33:F55)</f>
        <v>120562.5</v>
      </c>
      <c r="G57" s="98"/>
      <c r="H57" s="132">
        <f>SUM(H33:H55)</f>
        <v>139243.75</v>
      </c>
      <c r="I57" s="98"/>
      <c r="J57" s="132">
        <f>SUM(J33:J55)</f>
        <v>164275</v>
      </c>
      <c r="K57" s="99"/>
      <c r="L57" s="132">
        <f>SUM(L33:L55)</f>
        <v>153925</v>
      </c>
      <c r="M57" s="247"/>
      <c r="N57" s="132">
        <f>SUM(N33:N55)</f>
        <v>153925</v>
      </c>
      <c r="O57"/>
      <c r="P57" s="288">
        <f>SUM(P33:P55)</f>
        <v>0.1127222593698587</v>
      </c>
      <c r="Q57" s="288">
        <f>SUM(Q33:Q55)</f>
        <v>0.09424927353333441</v>
      </c>
      <c r="R57" s="288">
        <f>SUM(R33:R55)</f>
        <v>0.08146473187497985</v>
      </c>
      <c r="S57" s="288">
        <f>SUM(S33:S55)</f>
        <v>0.07575170618226577</v>
      </c>
      <c r="T57" s="288">
        <f>SUM(T33:T55)</f>
        <v>0.07494994098998047</v>
      </c>
      <c r="U57"/>
      <c r="V57" s="293">
        <f>SUM(V33:V55)</f>
        <v>1339.5833333333335</v>
      </c>
      <c r="W57" s="293">
        <f>SUM(W33:W55)</f>
        <v>1031.4351851851852</v>
      </c>
      <c r="X57" s="293">
        <f>SUM(X33:X55)</f>
        <v>912.6388888888891</v>
      </c>
      <c r="Y57" s="293">
        <f>SUM(Y33:Y55)</f>
        <v>855.1388888888891</v>
      </c>
      <c r="Z57" s="293">
        <f>SUM(Z33:Z55)</f>
        <v>855.1388888888891</v>
      </c>
    </row>
    <row r="58" spans="1:26" ht="15">
      <c r="A58" s="26"/>
      <c r="B58" s="21"/>
      <c r="C58" s="21"/>
      <c r="D58" s="195"/>
      <c r="E58" s="195"/>
      <c r="F58" s="195"/>
      <c r="G58" s="195"/>
      <c r="H58" s="195"/>
      <c r="I58" s="195"/>
      <c r="J58" s="195"/>
      <c r="K58" s="248"/>
      <c r="L58" s="195"/>
      <c r="M58" s="248"/>
      <c r="N58" s="195"/>
      <c r="P58" s="287"/>
      <c r="Q58" s="287"/>
      <c r="R58" s="287"/>
      <c r="S58" s="287"/>
      <c r="T58" s="287"/>
      <c r="V58" s="195"/>
      <c r="W58" s="195"/>
      <c r="X58" s="195"/>
      <c r="Y58" s="195"/>
      <c r="Z58" s="195"/>
    </row>
    <row r="59" spans="1:26" ht="15">
      <c r="A59" s="26"/>
      <c r="B59" s="21"/>
      <c r="C59" s="21"/>
      <c r="D59" s="273"/>
      <c r="E59" s="274"/>
      <c r="F59" s="273"/>
      <c r="G59" s="274"/>
      <c r="H59" s="273"/>
      <c r="I59" s="274"/>
      <c r="J59" s="273"/>
      <c r="K59" s="99"/>
      <c r="L59" s="273"/>
      <c r="M59" s="247"/>
      <c r="N59" s="273"/>
      <c r="O59" s="88"/>
      <c r="P59" s="289"/>
      <c r="Q59" s="289"/>
      <c r="R59" s="289"/>
      <c r="S59" s="289"/>
      <c r="T59" s="289"/>
      <c r="U59" s="88"/>
      <c r="V59" s="294"/>
      <c r="W59" s="294"/>
      <c r="X59" s="294"/>
      <c r="Y59" s="294"/>
      <c r="Z59" s="294"/>
    </row>
    <row r="60" spans="1:26" ht="15" thickBot="1">
      <c r="A60" s="26"/>
      <c r="B60" s="27"/>
      <c r="C60" s="27"/>
      <c r="D60" s="272"/>
      <c r="E60" s="275"/>
      <c r="F60" s="272"/>
      <c r="G60" s="275"/>
      <c r="H60" s="272"/>
      <c r="I60" s="275"/>
      <c r="J60" s="272"/>
      <c r="K60" s="272"/>
      <c r="L60" s="276"/>
      <c r="M60" s="262"/>
      <c r="N60" s="276"/>
      <c r="O60" s="88"/>
      <c r="P60" s="290"/>
      <c r="Q60" s="290"/>
      <c r="R60" s="290"/>
      <c r="S60" s="290"/>
      <c r="T60" s="290"/>
      <c r="U60" s="88"/>
      <c r="V60" s="248"/>
      <c r="W60" s="248"/>
      <c r="X60" s="248"/>
      <c r="Y60" s="248"/>
      <c r="Z60" s="248"/>
    </row>
    <row r="61" spans="1:26" ht="18" thickBot="1">
      <c r="A61" s="160" t="s">
        <v>61</v>
      </c>
      <c r="B61" s="27"/>
      <c r="C61" s="27"/>
      <c r="D61" s="277"/>
      <c r="E61" s="271"/>
      <c r="F61" s="277"/>
      <c r="G61" s="271"/>
      <c r="H61" s="277"/>
      <c r="I61" s="271"/>
      <c r="J61" s="277"/>
      <c r="K61" s="272"/>
      <c r="L61" s="40"/>
      <c r="M61" s="262"/>
      <c r="N61" s="40"/>
      <c r="O61"/>
      <c r="P61" s="287"/>
      <c r="Q61" s="287"/>
      <c r="R61" s="287"/>
      <c r="S61" s="287"/>
      <c r="T61" s="287"/>
      <c r="U61"/>
      <c r="V61" s="195"/>
      <c r="W61" s="195"/>
      <c r="X61" s="195"/>
      <c r="Y61" s="195"/>
      <c r="Z61" s="195"/>
    </row>
    <row r="62" spans="1:26" ht="15">
      <c r="A62" s="167" t="str">
        <f>'Budget with Assumptions'!A62</f>
        <v>Salaries</v>
      </c>
      <c r="B62" s="21"/>
      <c r="C62" s="21"/>
      <c r="D62" s="101">
        <f>'Budget with Assumptions'!J62</f>
        <v>82500</v>
      </c>
      <c r="E62" s="271"/>
      <c r="F62" s="101">
        <f>'Budget with Assumptions'!L62</f>
        <v>487500</v>
      </c>
      <c r="G62" s="275"/>
      <c r="H62" s="101">
        <f>'Budget with Assumptions'!N62</f>
        <v>786140</v>
      </c>
      <c r="I62" s="275"/>
      <c r="J62" s="101">
        <f>'Budget with Assumptions'!P62</f>
        <v>1090014</v>
      </c>
      <c r="K62" s="272"/>
      <c r="L62" s="101">
        <f>'Budget with Assumptions'!R62</f>
        <v>1111814.28</v>
      </c>
      <c r="M62" s="262"/>
      <c r="N62" s="101">
        <f>'Budget with Assumptions'!T62</f>
        <v>1134050.5656</v>
      </c>
      <c r="O62"/>
      <c r="P62" s="286">
        <f aca="true" t="shared" si="15" ref="P62:P83">F62/$F$152</f>
        <v>0.4557976273120259</v>
      </c>
      <c r="Q62" s="286">
        <f aca="true" t="shared" si="16" ref="Q62:Q83">H62/$H$152</f>
        <v>0.5321109485739612</v>
      </c>
      <c r="R62" s="286">
        <f aca="true" t="shared" si="17" ref="R62:R83">J62/$J$152</f>
        <v>0.5405429812812315</v>
      </c>
      <c r="S62" s="286">
        <f aca="true" t="shared" si="18" ref="S62:S83">L62/$L$152</f>
        <v>0.5471614660893771</v>
      </c>
      <c r="T62" s="286">
        <f aca="true" t="shared" si="19" ref="T62:T83">N62/$N$152</f>
        <v>0.5521976480193211</v>
      </c>
      <c r="U62"/>
      <c r="V62" s="295">
        <f>F62/$F$171</f>
        <v>5416.666666666667</v>
      </c>
      <c r="W62" s="295">
        <f>H62/$H$171</f>
        <v>5823.259259259259</v>
      </c>
      <c r="X62" s="295">
        <f>J62/$J$171</f>
        <v>6055.633333333333</v>
      </c>
      <c r="Y62" s="295">
        <f>L62/$L$171</f>
        <v>6176.746</v>
      </c>
      <c r="Z62" s="295">
        <f>N62/$N$171</f>
        <v>6300.28092</v>
      </c>
    </row>
    <row r="63" spans="1:26" ht="15">
      <c r="A63" s="167" t="str">
        <f>'Budget with Assumptions'!A63</f>
        <v>School's Share of Employer Contribution (normal cost) to the CTPF</v>
      </c>
      <c r="B63" s="28"/>
      <c r="C63" s="28"/>
      <c r="D63" s="101">
        <f>'Budget with Assumptions'!J63</f>
        <v>0</v>
      </c>
      <c r="E63" s="271"/>
      <c r="F63" s="101">
        <f>'Budget with Assumptions'!L63</f>
        <v>38892.600000000006</v>
      </c>
      <c r="G63" s="275"/>
      <c r="H63" s="101">
        <f>'Budget with Assumptions'!N63</f>
        <v>65763.648</v>
      </c>
      <c r="I63" s="275"/>
      <c r="J63" s="101">
        <f>'Budget with Assumptions'!P63</f>
        <v>98503.82927999999</v>
      </c>
      <c r="K63" s="272"/>
      <c r="L63" s="101">
        <f>'Budget with Assumptions'!R63</f>
        <v>100473.9058656</v>
      </c>
      <c r="M63" s="262"/>
      <c r="N63" s="101">
        <f>'Budget with Assumptions'!T63</f>
        <v>102483.38398291201</v>
      </c>
      <c r="O63"/>
      <c r="P63" s="286">
        <f t="shared" si="15"/>
        <v>0.03636339446152964</v>
      </c>
      <c r="Q63" s="286">
        <f t="shared" si="16"/>
        <v>0.04451313648836605</v>
      </c>
      <c r="R63" s="286">
        <f t="shared" si="17"/>
        <v>0.048848504282173126</v>
      </c>
      <c r="S63" s="286">
        <f t="shared" si="18"/>
        <v>0.049446612285954594</v>
      </c>
      <c r="T63" s="286">
        <f t="shared" si="19"/>
        <v>0.049901728646891456</v>
      </c>
      <c r="U63"/>
      <c r="V63" s="295">
        <f aca="true" t="shared" si="20" ref="V63:V83">F63/$F$171</f>
        <v>432.14000000000004</v>
      </c>
      <c r="W63" s="295">
        <f aca="true" t="shared" si="21" ref="W63:W83">H63/$H$171</f>
        <v>487.1381333333333</v>
      </c>
      <c r="X63" s="295">
        <f aca="true" t="shared" si="22" ref="X63:X83">J63/$J$171</f>
        <v>547.2434959999999</v>
      </c>
      <c r="Y63" s="295">
        <f aca="true" t="shared" si="23" ref="Y63:Y83">L63/$L$171</f>
        <v>558.18836592</v>
      </c>
      <c r="Z63" s="295">
        <f aca="true" t="shared" si="24" ref="Z63:Z83">N63/$N$171</f>
        <v>569.3521332384</v>
      </c>
    </row>
    <row r="64" spans="1:26" ht="15">
      <c r="A64" s="167" t="str">
        <f>'Budget with Assumptions'!A64</f>
        <v>Pension-CTPF(Charter School's Share of 9% of Employee w/h)</v>
      </c>
      <c r="B64" s="28"/>
      <c r="C64" s="28"/>
      <c r="D64" s="101">
        <f>'Budget with Assumptions'!J64</f>
        <v>0</v>
      </c>
      <c r="E64" s="271"/>
      <c r="F64" s="101">
        <f>'Budget with Assumptions'!L64</f>
        <v>0</v>
      </c>
      <c r="G64" s="275"/>
      <c r="H64" s="101">
        <f>'Budget with Assumptions'!N64</f>
        <v>0</v>
      </c>
      <c r="I64" s="275"/>
      <c r="J64" s="101">
        <f>'Budget with Assumptions'!P64</f>
        <v>0</v>
      </c>
      <c r="K64" s="272"/>
      <c r="L64" s="101">
        <f>'Budget with Assumptions'!R64</f>
        <v>0</v>
      </c>
      <c r="M64" s="262"/>
      <c r="N64" s="101">
        <f>'Budget with Assumptions'!T64</f>
        <v>0</v>
      </c>
      <c r="O64"/>
      <c r="P64" s="286">
        <f t="shared" si="15"/>
        <v>0</v>
      </c>
      <c r="Q64" s="286">
        <f t="shared" si="16"/>
        <v>0</v>
      </c>
      <c r="R64" s="286">
        <f t="shared" si="17"/>
        <v>0</v>
      </c>
      <c r="S64" s="286">
        <f t="shared" si="18"/>
        <v>0</v>
      </c>
      <c r="T64" s="286">
        <f t="shared" si="19"/>
        <v>0</v>
      </c>
      <c r="U64"/>
      <c r="V64" s="295">
        <f t="shared" si="20"/>
        <v>0</v>
      </c>
      <c r="W64" s="295">
        <f t="shared" si="21"/>
        <v>0</v>
      </c>
      <c r="X64" s="295">
        <f t="shared" si="22"/>
        <v>0</v>
      </c>
      <c r="Y64" s="295">
        <f t="shared" si="23"/>
        <v>0</v>
      </c>
      <c r="Z64" s="295">
        <f t="shared" si="24"/>
        <v>0</v>
      </c>
    </row>
    <row r="65" spans="1:26" ht="15">
      <c r="A65" s="167" t="str">
        <f>'Budget with Assumptions'!A65</f>
        <v>403b</v>
      </c>
      <c r="B65" s="28"/>
      <c r="C65" s="28"/>
      <c r="D65" s="101">
        <f>'Budget with Assumptions'!J65</f>
        <v>2475</v>
      </c>
      <c r="E65" s="271"/>
      <c r="F65" s="101">
        <f>'Budget with Assumptions'!L65</f>
        <v>4170</v>
      </c>
      <c r="G65" s="275"/>
      <c r="H65" s="101">
        <f>'Budget with Assumptions'!N65</f>
        <v>5905.8</v>
      </c>
      <c r="I65" s="275"/>
      <c r="J65" s="101">
        <f>'Budget with Assumptions'!P65</f>
        <v>6220.896</v>
      </c>
      <c r="K65" s="272"/>
      <c r="L65" s="101">
        <f>'Budget with Assumptions'!R65</f>
        <v>6345.313919999999</v>
      </c>
      <c r="M65" s="262"/>
      <c r="N65" s="101">
        <f>'Budget with Assumptions'!T65</f>
        <v>6472.220198399999</v>
      </c>
      <c r="O65"/>
      <c r="P65" s="286">
        <f t="shared" si="15"/>
        <v>0.003898822781315175</v>
      </c>
      <c r="Q65" s="286">
        <f t="shared" si="16"/>
        <v>0.0039974315517440915</v>
      </c>
      <c r="R65" s="286">
        <f t="shared" si="17"/>
        <v>0.0030849710830140598</v>
      </c>
      <c r="S65" s="286">
        <f t="shared" si="18"/>
        <v>0.003122743905811798</v>
      </c>
      <c r="T65" s="286">
        <f t="shared" si="19"/>
        <v>0.0031514862559313935</v>
      </c>
      <c r="U65"/>
      <c r="V65" s="295">
        <f t="shared" si="20"/>
        <v>46.333333333333336</v>
      </c>
      <c r="W65" s="295">
        <f t="shared" si="21"/>
        <v>43.74666666666667</v>
      </c>
      <c r="X65" s="295">
        <f t="shared" si="22"/>
        <v>34.56053333333333</v>
      </c>
      <c r="Y65" s="295">
        <f t="shared" si="23"/>
        <v>35.251743999999995</v>
      </c>
      <c r="Z65" s="295">
        <f t="shared" si="24"/>
        <v>35.956778879999995</v>
      </c>
    </row>
    <row r="66" spans="1:26" ht="15">
      <c r="A66" s="167" t="str">
        <f>'Budget with Assumptions'!A66</f>
        <v>FICA (employer's share)</v>
      </c>
      <c r="B66" s="28"/>
      <c r="C66" s="28"/>
      <c r="D66" s="101">
        <f>'Budget with Assumptions'!J66</f>
        <v>5115</v>
      </c>
      <c r="E66" s="271"/>
      <c r="F66" s="101">
        <f>'Budget with Assumptions'!L66</f>
        <v>8618</v>
      </c>
      <c r="G66" s="275"/>
      <c r="H66" s="101">
        <f>'Budget with Assumptions'!N66</f>
        <v>12205.320000000002</v>
      </c>
      <c r="I66" s="275"/>
      <c r="J66" s="101">
        <f>'Budget with Assumptions'!P66</f>
        <v>12856.5184</v>
      </c>
      <c r="K66" s="272"/>
      <c r="L66" s="101">
        <f>'Budget with Assumptions'!R66</f>
        <v>13113.648768000001</v>
      </c>
      <c r="M66" s="262"/>
      <c r="N66" s="101">
        <f>'Budget with Assumptions'!T66</f>
        <v>13375.921743359999</v>
      </c>
      <c r="O66"/>
      <c r="P66" s="286">
        <f t="shared" si="15"/>
        <v>0.008057567081384696</v>
      </c>
      <c r="Q66" s="286">
        <f t="shared" si="16"/>
        <v>0.008261358540271123</v>
      </c>
      <c r="R66" s="286">
        <f t="shared" si="17"/>
        <v>0.006375606904895724</v>
      </c>
      <c r="S66" s="286">
        <f t="shared" si="18"/>
        <v>0.006453670738677717</v>
      </c>
      <c r="T66" s="286">
        <f t="shared" si="19"/>
        <v>0.006513071595591547</v>
      </c>
      <c r="U66"/>
      <c r="V66" s="295">
        <f t="shared" si="20"/>
        <v>95.75555555555556</v>
      </c>
      <c r="W66" s="295">
        <f t="shared" si="21"/>
        <v>90.40977777777779</v>
      </c>
      <c r="X66" s="295">
        <f t="shared" si="22"/>
        <v>71.42510222222222</v>
      </c>
      <c r="Y66" s="295">
        <f t="shared" si="23"/>
        <v>72.85360426666668</v>
      </c>
      <c r="Z66" s="295">
        <f t="shared" si="24"/>
        <v>74.31067635199999</v>
      </c>
    </row>
    <row r="67" spans="1:26" ht="15">
      <c r="A67" s="167" t="str">
        <f>'Budget with Assumptions'!A67</f>
        <v>Medicare (employer's share)</v>
      </c>
      <c r="B67" s="28"/>
      <c r="C67" s="28"/>
      <c r="D67" s="101">
        <f>'Budget with Assumptions'!J67</f>
        <v>1196.25</v>
      </c>
      <c r="E67" s="271"/>
      <c r="F67" s="101">
        <f>'Budget with Assumptions'!L67</f>
        <v>7068.75</v>
      </c>
      <c r="G67" s="275"/>
      <c r="H67" s="101">
        <f>'Budget with Assumptions'!N67</f>
        <v>11399.030000000002</v>
      </c>
      <c r="I67" s="275"/>
      <c r="J67" s="101">
        <f>'Budget with Assumptions'!P67</f>
        <v>15805.203000000001</v>
      </c>
      <c r="K67" s="272"/>
      <c r="L67" s="101">
        <f>'Budget with Assumptions'!R67</f>
        <v>16121.30706</v>
      </c>
      <c r="M67" s="262"/>
      <c r="N67" s="101">
        <f>'Budget with Assumptions'!T67</f>
        <v>16443.7332012</v>
      </c>
      <c r="O67"/>
      <c r="P67" s="286">
        <f t="shared" si="15"/>
        <v>0.006609065596024375</v>
      </c>
      <c r="Q67" s="286">
        <f t="shared" si="16"/>
        <v>0.007715608754322439</v>
      </c>
      <c r="R67" s="286">
        <f t="shared" si="17"/>
        <v>0.007837873228577857</v>
      </c>
      <c r="S67" s="286">
        <f t="shared" si="18"/>
        <v>0.007933841258295967</v>
      </c>
      <c r="T67" s="286">
        <f t="shared" si="19"/>
        <v>0.008006865896280156</v>
      </c>
      <c r="U67"/>
      <c r="V67" s="295">
        <f t="shared" si="20"/>
        <v>78.54166666666667</v>
      </c>
      <c r="W67" s="295">
        <f t="shared" si="21"/>
        <v>84.43725925925928</v>
      </c>
      <c r="X67" s="295">
        <f t="shared" si="22"/>
        <v>87.80668333333334</v>
      </c>
      <c r="Y67" s="295">
        <f t="shared" si="23"/>
        <v>89.562817</v>
      </c>
      <c r="Z67" s="295">
        <f t="shared" si="24"/>
        <v>91.35407334</v>
      </c>
    </row>
    <row r="68" spans="1:26" ht="15">
      <c r="A68" s="167" t="str">
        <f>'Budget with Assumptions'!A68</f>
        <v>Health/Dental/Life Insurance</v>
      </c>
      <c r="B68" s="28"/>
      <c r="C68" s="28"/>
      <c r="D68" s="101">
        <f>'Budget with Assumptions'!J68</f>
        <v>7177.499999999999</v>
      </c>
      <c r="E68" s="271"/>
      <c r="F68" s="101">
        <f>'Budget with Assumptions'!L68</f>
        <v>42412.5</v>
      </c>
      <c r="G68" s="275"/>
      <c r="H68" s="101">
        <f>'Budget with Assumptions'!N68</f>
        <v>68394.18</v>
      </c>
      <c r="I68" s="275"/>
      <c r="J68" s="101">
        <f>'Budget with Assumptions'!P68</f>
        <v>94831.218</v>
      </c>
      <c r="K68" s="272"/>
      <c r="L68" s="101">
        <f>'Budget with Assumptions'!R68</f>
        <v>96727.84236</v>
      </c>
      <c r="M68" s="262"/>
      <c r="N68" s="101">
        <f>'Budget with Assumptions'!T68</f>
        <v>98662.3992072</v>
      </c>
      <c r="O68"/>
      <c r="P68" s="286">
        <f t="shared" si="15"/>
        <v>0.03965439357614625</v>
      </c>
      <c r="Q68" s="286">
        <f t="shared" si="16"/>
        <v>0.04629365252593462</v>
      </c>
      <c r="R68" s="286">
        <f t="shared" si="17"/>
        <v>0.04702723937146713</v>
      </c>
      <c r="S68" s="286">
        <f t="shared" si="18"/>
        <v>0.047603047549775804</v>
      </c>
      <c r="T68" s="286">
        <f t="shared" si="19"/>
        <v>0.04804119537768093</v>
      </c>
      <c r="U68"/>
      <c r="V68" s="295">
        <f t="shared" si="20"/>
        <v>471.25</v>
      </c>
      <c r="W68" s="295">
        <f t="shared" si="21"/>
        <v>506.6235555555555</v>
      </c>
      <c r="X68" s="295">
        <f t="shared" si="22"/>
        <v>526.8401</v>
      </c>
      <c r="Y68" s="295">
        <f t="shared" si="23"/>
        <v>537.376902</v>
      </c>
      <c r="Z68" s="295">
        <f t="shared" si="24"/>
        <v>548.12444004</v>
      </c>
    </row>
    <row r="69" spans="1:26" ht="15">
      <c r="A69" s="167" t="str">
        <f>'Budget with Assumptions'!A69</f>
        <v>Workers Compensation</v>
      </c>
      <c r="B69" s="28"/>
      <c r="C69" s="28"/>
      <c r="D69" s="101">
        <f>'Budget with Assumptions'!J69</f>
        <v>0</v>
      </c>
      <c r="E69" s="271"/>
      <c r="F69" s="101">
        <f>'Budget with Assumptions'!L69</f>
        <v>0</v>
      </c>
      <c r="G69" s="271"/>
      <c r="H69" s="101">
        <f>'Budget with Assumptions'!N69</f>
        <v>0</v>
      </c>
      <c r="I69" s="275"/>
      <c r="J69" s="101">
        <f>'Budget with Assumptions'!P69</f>
        <v>0</v>
      </c>
      <c r="K69" s="272"/>
      <c r="L69" s="101">
        <f>'Budget with Assumptions'!R69</f>
        <v>0</v>
      </c>
      <c r="M69" s="262"/>
      <c r="N69" s="101">
        <f>'Budget with Assumptions'!T69</f>
        <v>0</v>
      </c>
      <c r="O69"/>
      <c r="P69" s="286">
        <f t="shared" si="15"/>
        <v>0</v>
      </c>
      <c r="Q69" s="286">
        <f t="shared" si="16"/>
        <v>0</v>
      </c>
      <c r="R69" s="286">
        <f t="shared" si="17"/>
        <v>0</v>
      </c>
      <c r="S69" s="286">
        <f t="shared" si="18"/>
        <v>0</v>
      </c>
      <c r="T69" s="286">
        <f t="shared" si="19"/>
        <v>0</v>
      </c>
      <c r="U69"/>
      <c r="V69" s="295">
        <f t="shared" si="20"/>
        <v>0</v>
      </c>
      <c r="W69" s="295">
        <f t="shared" si="21"/>
        <v>0</v>
      </c>
      <c r="X69" s="295">
        <f t="shared" si="22"/>
        <v>0</v>
      </c>
      <c r="Y69" s="295">
        <f t="shared" si="23"/>
        <v>0</v>
      </c>
      <c r="Z69" s="295">
        <f t="shared" si="24"/>
        <v>0</v>
      </c>
    </row>
    <row r="70" spans="1:26" ht="15">
      <c r="A70" s="167" t="str">
        <f>'Budget with Assumptions'!A70</f>
        <v>State Unemployment Taxes</v>
      </c>
      <c r="B70" s="28"/>
      <c r="C70" s="28"/>
      <c r="D70" s="101">
        <f>'Budget with Assumptions'!J70</f>
        <v>1650</v>
      </c>
      <c r="E70" s="271"/>
      <c r="F70" s="101">
        <f>'Budget with Assumptions'!L70</f>
        <v>9750</v>
      </c>
      <c r="G70" s="271"/>
      <c r="H70" s="101">
        <f>'Budget with Assumptions'!N70</f>
        <v>15722.800000000001</v>
      </c>
      <c r="I70" s="271"/>
      <c r="J70" s="101">
        <f>'Budget with Assumptions'!P70</f>
        <v>21800.28</v>
      </c>
      <c r="K70" s="272"/>
      <c r="L70" s="101">
        <f>'Budget with Assumptions'!R70</f>
        <v>22236.2856</v>
      </c>
      <c r="M70" s="262"/>
      <c r="N70" s="101">
        <f>'Budget with Assumptions'!T70</f>
        <v>22681.011312000002</v>
      </c>
      <c r="O70"/>
      <c r="P70" s="286">
        <f t="shared" si="15"/>
        <v>0.009115952546240518</v>
      </c>
      <c r="Q70" s="286">
        <f t="shared" si="16"/>
        <v>0.010642218971479225</v>
      </c>
      <c r="R70" s="286">
        <f t="shared" si="17"/>
        <v>0.01081085962562463</v>
      </c>
      <c r="S70" s="286">
        <f t="shared" si="18"/>
        <v>0.010943229321787542</v>
      </c>
      <c r="T70" s="286">
        <f t="shared" si="19"/>
        <v>0.011043952960386422</v>
      </c>
      <c r="U70"/>
      <c r="V70" s="295">
        <f t="shared" si="20"/>
        <v>108.33333333333333</v>
      </c>
      <c r="W70" s="295">
        <f t="shared" si="21"/>
        <v>116.46518518518519</v>
      </c>
      <c r="X70" s="295">
        <f t="shared" si="22"/>
        <v>121.11266666666666</v>
      </c>
      <c r="Y70" s="295">
        <f t="shared" si="23"/>
        <v>123.53492</v>
      </c>
      <c r="Z70" s="295">
        <f t="shared" si="24"/>
        <v>126.00561840000002</v>
      </c>
    </row>
    <row r="71" spans="1:26" ht="15">
      <c r="A71" s="167">
        <f>'Budget with Assumptions'!A71</f>
        <v>0</v>
      </c>
      <c r="B71" s="28"/>
      <c r="C71" s="28"/>
      <c r="D71" s="101">
        <f>'Budget with Assumptions'!J71</f>
        <v>0</v>
      </c>
      <c r="E71" s="271"/>
      <c r="F71" s="101">
        <f>'Budget with Assumptions'!L71</f>
        <v>0</v>
      </c>
      <c r="G71" s="271"/>
      <c r="H71" s="101">
        <f>'Budget with Assumptions'!N71</f>
        <v>0</v>
      </c>
      <c r="I71" s="271"/>
      <c r="J71" s="101">
        <f>'Budget with Assumptions'!P71</f>
        <v>0</v>
      </c>
      <c r="K71" s="272"/>
      <c r="L71" s="101">
        <f>'Budget with Assumptions'!R71</f>
        <v>0</v>
      </c>
      <c r="M71" s="262"/>
      <c r="N71" s="101">
        <f>'Budget with Assumptions'!T71</f>
        <v>0</v>
      </c>
      <c r="O71"/>
      <c r="P71" s="286">
        <f t="shared" si="15"/>
        <v>0</v>
      </c>
      <c r="Q71" s="286">
        <f t="shared" si="16"/>
        <v>0</v>
      </c>
      <c r="R71" s="286">
        <f t="shared" si="17"/>
        <v>0</v>
      </c>
      <c r="S71" s="286">
        <f t="shared" si="18"/>
        <v>0</v>
      </c>
      <c r="T71" s="286">
        <f t="shared" si="19"/>
        <v>0</v>
      </c>
      <c r="U71"/>
      <c r="V71" s="295">
        <f t="shared" si="20"/>
        <v>0</v>
      </c>
      <c r="W71" s="295">
        <f t="shared" si="21"/>
        <v>0</v>
      </c>
      <c r="X71" s="295">
        <f t="shared" si="22"/>
        <v>0</v>
      </c>
      <c r="Y71" s="295">
        <f t="shared" si="23"/>
        <v>0</v>
      </c>
      <c r="Z71" s="295">
        <f t="shared" si="24"/>
        <v>0</v>
      </c>
    </row>
    <row r="72" spans="1:26" ht="15">
      <c r="A72" s="167">
        <f>'Budget with Assumptions'!A72</f>
        <v>0</v>
      </c>
      <c r="B72" s="28"/>
      <c r="C72" s="28"/>
      <c r="D72" s="101">
        <f>'Budget with Assumptions'!J72</f>
        <v>0</v>
      </c>
      <c r="E72" s="271"/>
      <c r="F72" s="101">
        <f>'Budget with Assumptions'!L72</f>
        <v>0</v>
      </c>
      <c r="G72" s="271"/>
      <c r="H72" s="101">
        <f>'Budget with Assumptions'!N72</f>
        <v>0</v>
      </c>
      <c r="I72" s="271"/>
      <c r="J72" s="101">
        <f>'Budget with Assumptions'!P72</f>
        <v>0</v>
      </c>
      <c r="K72" s="272"/>
      <c r="L72" s="101">
        <f>'Budget with Assumptions'!R72</f>
        <v>0</v>
      </c>
      <c r="M72" s="262"/>
      <c r="N72" s="101">
        <f>'Budget with Assumptions'!T72</f>
        <v>0</v>
      </c>
      <c r="O72"/>
      <c r="P72" s="286">
        <f t="shared" si="15"/>
        <v>0</v>
      </c>
      <c r="Q72" s="286">
        <f t="shared" si="16"/>
        <v>0</v>
      </c>
      <c r="R72" s="286">
        <f t="shared" si="17"/>
        <v>0</v>
      </c>
      <c r="S72" s="286">
        <f t="shared" si="18"/>
        <v>0</v>
      </c>
      <c r="T72" s="286">
        <f t="shared" si="19"/>
        <v>0</v>
      </c>
      <c r="U72"/>
      <c r="V72" s="295">
        <f t="shared" si="20"/>
        <v>0</v>
      </c>
      <c r="W72" s="295">
        <f t="shared" si="21"/>
        <v>0</v>
      </c>
      <c r="X72" s="295">
        <f t="shared" si="22"/>
        <v>0</v>
      </c>
      <c r="Y72" s="295">
        <f t="shared" si="23"/>
        <v>0</v>
      </c>
      <c r="Z72" s="295">
        <f t="shared" si="24"/>
        <v>0</v>
      </c>
    </row>
    <row r="73" spans="1:26" ht="15">
      <c r="A73" s="167">
        <f>'Budget with Assumptions'!A73</f>
        <v>0</v>
      </c>
      <c r="B73" s="28"/>
      <c r="C73" s="28"/>
      <c r="D73" s="101">
        <f>'Budget with Assumptions'!J73</f>
        <v>0</v>
      </c>
      <c r="E73" s="195"/>
      <c r="F73" s="101">
        <f>'Budget with Assumptions'!L73</f>
        <v>0</v>
      </c>
      <c r="G73" s="195"/>
      <c r="H73" s="101">
        <f>'Budget with Assumptions'!N73</f>
        <v>0</v>
      </c>
      <c r="I73" s="195"/>
      <c r="J73" s="101">
        <f>'Budget with Assumptions'!P73</f>
        <v>0</v>
      </c>
      <c r="K73" s="248"/>
      <c r="L73" s="101">
        <f>'Budget with Assumptions'!R73</f>
        <v>0</v>
      </c>
      <c r="M73" s="248"/>
      <c r="N73" s="101">
        <f>'Budget with Assumptions'!T73</f>
        <v>0</v>
      </c>
      <c r="P73" s="286">
        <f t="shared" si="15"/>
        <v>0</v>
      </c>
      <c r="Q73" s="286">
        <f t="shared" si="16"/>
        <v>0</v>
      </c>
      <c r="R73" s="286">
        <f t="shared" si="17"/>
        <v>0</v>
      </c>
      <c r="S73" s="286">
        <f t="shared" si="18"/>
        <v>0</v>
      </c>
      <c r="T73" s="286">
        <f t="shared" si="19"/>
        <v>0</v>
      </c>
      <c r="V73" s="295">
        <f t="shared" si="20"/>
        <v>0</v>
      </c>
      <c r="W73" s="295">
        <f t="shared" si="21"/>
        <v>0</v>
      </c>
      <c r="X73" s="295">
        <f t="shared" si="22"/>
        <v>0</v>
      </c>
      <c r="Y73" s="295">
        <f t="shared" si="23"/>
        <v>0</v>
      </c>
      <c r="Z73" s="295">
        <f t="shared" si="24"/>
        <v>0</v>
      </c>
    </row>
    <row r="74" spans="1:26" ht="15">
      <c r="A74" s="167">
        <f>'Budget with Assumptions'!A74</f>
        <v>0</v>
      </c>
      <c r="D74" s="101">
        <f>'Budget with Assumptions'!J74</f>
        <v>0</v>
      </c>
      <c r="E74" s="271"/>
      <c r="F74" s="101">
        <f>'Budget with Assumptions'!L74</f>
        <v>0</v>
      </c>
      <c r="G74" s="271"/>
      <c r="H74" s="101">
        <f>'Budget with Assumptions'!N74</f>
        <v>0</v>
      </c>
      <c r="I74" s="271"/>
      <c r="J74" s="101">
        <f>'Budget with Assumptions'!P74</f>
        <v>0</v>
      </c>
      <c r="K74" s="272"/>
      <c r="L74" s="101">
        <f>'Budget with Assumptions'!R74</f>
        <v>0</v>
      </c>
      <c r="M74" s="262"/>
      <c r="N74" s="101">
        <f>'Budget with Assumptions'!T74</f>
        <v>0</v>
      </c>
      <c r="O74"/>
      <c r="P74" s="286">
        <f t="shared" si="15"/>
        <v>0</v>
      </c>
      <c r="Q74" s="286">
        <f t="shared" si="16"/>
        <v>0</v>
      </c>
      <c r="R74" s="286">
        <f t="shared" si="17"/>
        <v>0</v>
      </c>
      <c r="S74" s="286">
        <f t="shared" si="18"/>
        <v>0</v>
      </c>
      <c r="T74" s="286">
        <f t="shared" si="19"/>
        <v>0</v>
      </c>
      <c r="U74"/>
      <c r="V74" s="295">
        <f t="shared" si="20"/>
        <v>0</v>
      </c>
      <c r="W74" s="295">
        <f t="shared" si="21"/>
        <v>0</v>
      </c>
      <c r="X74" s="295">
        <f t="shared" si="22"/>
        <v>0</v>
      </c>
      <c r="Y74" s="295">
        <f t="shared" si="23"/>
        <v>0</v>
      </c>
      <c r="Z74" s="295">
        <f t="shared" si="24"/>
        <v>0</v>
      </c>
    </row>
    <row r="75" spans="1:26" ht="15">
      <c r="A75" s="246" t="str">
        <f>'Budget with Assumptions'!A75</f>
        <v>Employee Related Expenses (non-wage and non-benefit)</v>
      </c>
      <c r="B75" s="28"/>
      <c r="C75" s="28"/>
      <c r="D75" s="101">
        <f>'Budget with Assumptions'!J75</f>
        <v>0</v>
      </c>
      <c r="E75" s="271"/>
      <c r="F75" s="101">
        <f>'Budget with Assumptions'!L75</f>
        <v>0</v>
      </c>
      <c r="G75" s="271"/>
      <c r="H75" s="101">
        <f>'Budget with Assumptions'!N75</f>
        <v>0</v>
      </c>
      <c r="I75" s="271"/>
      <c r="J75" s="101">
        <f>'Budget with Assumptions'!P75</f>
        <v>0</v>
      </c>
      <c r="K75" s="272"/>
      <c r="L75" s="101">
        <f>'Budget with Assumptions'!R75</f>
        <v>0</v>
      </c>
      <c r="M75" s="262"/>
      <c r="N75" s="101">
        <f>'Budget with Assumptions'!T75</f>
        <v>0</v>
      </c>
      <c r="O75"/>
      <c r="P75" s="286">
        <f t="shared" si="15"/>
        <v>0</v>
      </c>
      <c r="Q75" s="286">
        <f t="shared" si="16"/>
        <v>0</v>
      </c>
      <c r="R75" s="286">
        <f t="shared" si="17"/>
        <v>0</v>
      </c>
      <c r="S75" s="286">
        <f t="shared" si="18"/>
        <v>0</v>
      </c>
      <c r="T75" s="286">
        <f t="shared" si="19"/>
        <v>0</v>
      </c>
      <c r="U75"/>
      <c r="V75" s="295">
        <f t="shared" si="20"/>
        <v>0</v>
      </c>
      <c r="W75" s="295">
        <f t="shared" si="21"/>
        <v>0</v>
      </c>
      <c r="X75" s="295">
        <f t="shared" si="22"/>
        <v>0</v>
      </c>
      <c r="Y75" s="295">
        <f t="shared" si="23"/>
        <v>0</v>
      </c>
      <c r="Z75" s="295">
        <f t="shared" si="24"/>
        <v>0</v>
      </c>
    </row>
    <row r="76" spans="1:26" ht="15">
      <c r="A76" s="167" t="str">
        <f>'Budget with Assumptions'!A76</f>
        <v>Staff Recruitment</v>
      </c>
      <c r="B76" s="28"/>
      <c r="C76" s="28"/>
      <c r="D76" s="101">
        <f>'Budget with Assumptions'!J76</f>
        <v>3500</v>
      </c>
      <c r="E76" s="271"/>
      <c r="F76" s="101">
        <f>'Budget with Assumptions'!L76</f>
        <v>2500</v>
      </c>
      <c r="G76" s="271"/>
      <c r="H76" s="101">
        <f>'Budget with Assumptions'!N76</f>
        <v>2500</v>
      </c>
      <c r="I76" s="271"/>
      <c r="J76" s="101">
        <f>'Budget with Assumptions'!P76</f>
        <v>1500</v>
      </c>
      <c r="K76" s="272"/>
      <c r="L76" s="101">
        <f>'Budget with Assumptions'!R76</f>
        <v>1500</v>
      </c>
      <c r="M76" s="262"/>
      <c r="N76" s="101">
        <f>'Budget with Assumptions'!T76</f>
        <v>1500</v>
      </c>
      <c r="O76"/>
      <c r="P76" s="286">
        <f t="shared" si="15"/>
        <v>0.002337423729805261</v>
      </c>
      <c r="Q76" s="286">
        <f t="shared" si="16"/>
        <v>0.001692163445995501</v>
      </c>
      <c r="R76" s="286">
        <f t="shared" si="17"/>
        <v>0.0007438569338759385</v>
      </c>
      <c r="S76" s="286">
        <f t="shared" si="18"/>
        <v>0.0007382008073633175</v>
      </c>
      <c r="T76" s="286">
        <f t="shared" si="19"/>
        <v>0.0007303876010067938</v>
      </c>
      <c r="U76"/>
      <c r="V76" s="295">
        <f t="shared" si="20"/>
        <v>27.77777777777778</v>
      </c>
      <c r="W76" s="295">
        <f t="shared" si="21"/>
        <v>18.51851851851852</v>
      </c>
      <c r="X76" s="295">
        <f t="shared" si="22"/>
        <v>8.333333333333334</v>
      </c>
      <c r="Y76" s="295">
        <f t="shared" si="23"/>
        <v>8.333333333333334</v>
      </c>
      <c r="Z76" s="295">
        <f t="shared" si="24"/>
        <v>8.333333333333334</v>
      </c>
    </row>
    <row r="77" spans="1:26" ht="15">
      <c r="A77" s="167" t="str">
        <f>'Budget with Assumptions'!A77</f>
        <v>Professional Development</v>
      </c>
      <c r="B77" s="28"/>
      <c r="C77" s="28"/>
      <c r="D77" s="101">
        <f>'Budget with Assumptions'!J77</f>
        <v>10000</v>
      </c>
      <c r="E77" s="271"/>
      <c r="F77" s="101">
        <f>'Budget with Assumptions'!L77</f>
        <v>18250</v>
      </c>
      <c r="G77" s="271"/>
      <c r="H77" s="101">
        <f>'Budget with Assumptions'!N77</f>
        <v>13500</v>
      </c>
      <c r="I77" s="271"/>
      <c r="J77" s="101">
        <f>'Budget with Assumptions'!P77</f>
        <v>4750</v>
      </c>
      <c r="K77" s="272"/>
      <c r="L77" s="101">
        <f>'Budget with Assumptions'!R77</f>
        <v>4750</v>
      </c>
      <c r="M77" s="262"/>
      <c r="N77" s="101">
        <f>'Budget with Assumptions'!T77</f>
        <v>4750</v>
      </c>
      <c r="O77"/>
      <c r="P77" s="286">
        <f t="shared" si="15"/>
        <v>0.017063193227578405</v>
      </c>
      <c r="Q77" s="286">
        <f t="shared" si="16"/>
        <v>0.009137682608375705</v>
      </c>
      <c r="R77" s="286">
        <f t="shared" si="17"/>
        <v>0.002355546957273805</v>
      </c>
      <c r="S77" s="286">
        <f t="shared" si="18"/>
        <v>0.002337635889983839</v>
      </c>
      <c r="T77" s="286">
        <f t="shared" si="19"/>
        <v>0.002312894069854847</v>
      </c>
      <c r="U77"/>
      <c r="V77" s="295">
        <f t="shared" si="20"/>
        <v>202.77777777777777</v>
      </c>
      <c r="W77" s="295">
        <f t="shared" si="21"/>
        <v>100</v>
      </c>
      <c r="X77" s="295">
        <f t="shared" si="22"/>
        <v>26.38888888888889</v>
      </c>
      <c r="Y77" s="295">
        <f t="shared" si="23"/>
        <v>26.38888888888889</v>
      </c>
      <c r="Z77" s="295">
        <f t="shared" si="24"/>
        <v>26.38888888888889</v>
      </c>
    </row>
    <row r="78" spans="1:26" ht="15">
      <c r="A78" s="167" t="str">
        <f>'Budget with Assumptions'!A78</f>
        <v>Staff Appreciation</v>
      </c>
      <c r="B78" s="28"/>
      <c r="C78" s="28"/>
      <c r="D78" s="101">
        <f>'Budget with Assumptions'!J78</f>
        <v>0</v>
      </c>
      <c r="E78" s="271"/>
      <c r="F78" s="101">
        <f>'Budget with Assumptions'!L78</f>
        <v>900</v>
      </c>
      <c r="G78" s="271"/>
      <c r="H78" s="101">
        <f>'Budget with Assumptions'!N78</f>
        <v>1400</v>
      </c>
      <c r="I78" s="271"/>
      <c r="J78" s="101">
        <f>'Budget with Assumptions'!P78</f>
        <v>1900</v>
      </c>
      <c r="K78" s="272"/>
      <c r="L78" s="101">
        <f>'Budget with Assumptions'!R78</f>
        <v>1900</v>
      </c>
      <c r="M78" s="262"/>
      <c r="N78" s="101">
        <f>'Budget with Assumptions'!T78</f>
        <v>1900</v>
      </c>
      <c r="O78"/>
      <c r="P78" s="286">
        <f t="shared" si="15"/>
        <v>0.0008414725427298939</v>
      </c>
      <c r="Q78" s="286">
        <f t="shared" si="16"/>
        <v>0.0009476115297574805</v>
      </c>
      <c r="R78" s="286">
        <f t="shared" si="17"/>
        <v>0.000942218782909522</v>
      </c>
      <c r="S78" s="286">
        <f t="shared" si="18"/>
        <v>0.0009350543559935356</v>
      </c>
      <c r="T78" s="286">
        <f t="shared" si="19"/>
        <v>0.0009251576279419388</v>
      </c>
      <c r="U78"/>
      <c r="V78" s="295">
        <f t="shared" si="20"/>
        <v>10</v>
      </c>
      <c r="W78" s="295">
        <f t="shared" si="21"/>
        <v>10.37037037037037</v>
      </c>
      <c r="X78" s="295">
        <f t="shared" si="22"/>
        <v>10.555555555555555</v>
      </c>
      <c r="Y78" s="295">
        <f t="shared" si="23"/>
        <v>10.555555555555555</v>
      </c>
      <c r="Z78" s="295">
        <f t="shared" si="24"/>
        <v>10.555555555555555</v>
      </c>
    </row>
    <row r="79" spans="1:26" ht="15">
      <c r="A79" s="167" t="str">
        <f>'Budget with Assumptions'!A79</f>
        <v>Substitute Teachers (Contractual)</v>
      </c>
      <c r="B79" s="28"/>
      <c r="C79" s="28"/>
      <c r="D79" s="101">
        <f>'Budget with Assumptions'!J79</f>
        <v>0</v>
      </c>
      <c r="E79" s="271"/>
      <c r="F79" s="101">
        <f>'Budget with Assumptions'!L79</f>
        <v>0</v>
      </c>
      <c r="G79" s="271"/>
      <c r="H79" s="101">
        <f>'Budget with Assumptions'!N79</f>
        <v>0</v>
      </c>
      <c r="I79" s="271"/>
      <c r="J79" s="101">
        <f>'Budget with Assumptions'!P79</f>
        <v>0</v>
      </c>
      <c r="K79" s="272"/>
      <c r="L79" s="101">
        <f>'Budget with Assumptions'!R79</f>
        <v>0</v>
      </c>
      <c r="M79" s="262"/>
      <c r="N79" s="101">
        <f>'Budget with Assumptions'!T79</f>
        <v>0</v>
      </c>
      <c r="O79"/>
      <c r="P79" s="286">
        <f t="shared" si="15"/>
        <v>0</v>
      </c>
      <c r="Q79" s="286">
        <f t="shared" si="16"/>
        <v>0</v>
      </c>
      <c r="R79" s="286">
        <f t="shared" si="17"/>
        <v>0</v>
      </c>
      <c r="S79" s="286">
        <f t="shared" si="18"/>
        <v>0</v>
      </c>
      <c r="T79" s="286">
        <f t="shared" si="19"/>
        <v>0</v>
      </c>
      <c r="U79"/>
      <c r="V79" s="295">
        <f t="shared" si="20"/>
        <v>0</v>
      </c>
      <c r="W79" s="295">
        <f t="shared" si="21"/>
        <v>0</v>
      </c>
      <c r="X79" s="295">
        <f t="shared" si="22"/>
        <v>0</v>
      </c>
      <c r="Y79" s="295">
        <f t="shared" si="23"/>
        <v>0</v>
      </c>
      <c r="Z79" s="295">
        <f t="shared" si="24"/>
        <v>0</v>
      </c>
    </row>
    <row r="80" spans="1:26" ht="15">
      <c r="A80" s="167" t="str">
        <f>'Budget with Assumptions'!A80</f>
        <v>Saturday Academy</v>
      </c>
      <c r="B80" s="28"/>
      <c r="C80" s="28"/>
      <c r="D80" s="101">
        <f>'Budget with Assumptions'!J80</f>
        <v>0</v>
      </c>
      <c r="E80" s="271"/>
      <c r="F80" s="101">
        <f>'Budget with Assumptions'!L80</f>
        <v>1800</v>
      </c>
      <c r="G80" s="271"/>
      <c r="H80" s="101">
        <f>'Budget with Assumptions'!N80</f>
        <v>1800</v>
      </c>
      <c r="I80" s="271"/>
      <c r="J80" s="101">
        <f>'Budget with Assumptions'!P80</f>
        <v>3600</v>
      </c>
      <c r="K80" s="272"/>
      <c r="L80" s="101">
        <f>'Budget with Assumptions'!R80</f>
        <v>3600</v>
      </c>
      <c r="M80" s="262"/>
      <c r="N80" s="101">
        <f>'Budget with Assumptions'!T80</f>
        <v>3600</v>
      </c>
      <c r="O80"/>
      <c r="P80" s="286">
        <f t="shared" si="15"/>
        <v>0.0016829450854597878</v>
      </c>
      <c r="Q80" s="286">
        <f t="shared" si="16"/>
        <v>0.0012183576811167606</v>
      </c>
      <c r="R80" s="286">
        <f t="shared" si="17"/>
        <v>0.0017852566413022522</v>
      </c>
      <c r="S80" s="286">
        <f t="shared" si="18"/>
        <v>0.0017716819376719622</v>
      </c>
      <c r="T80" s="286">
        <f t="shared" si="19"/>
        <v>0.0017529302424163051</v>
      </c>
      <c r="U80"/>
      <c r="V80" s="295">
        <f t="shared" si="20"/>
        <v>20</v>
      </c>
      <c r="W80" s="295">
        <f t="shared" si="21"/>
        <v>13.333333333333334</v>
      </c>
      <c r="X80" s="295">
        <f t="shared" si="22"/>
        <v>20</v>
      </c>
      <c r="Y80" s="295">
        <f t="shared" si="23"/>
        <v>20</v>
      </c>
      <c r="Z80" s="295">
        <f t="shared" si="24"/>
        <v>20</v>
      </c>
    </row>
    <row r="81" spans="1:26" ht="15">
      <c r="A81" s="167" t="str">
        <f>'Budget with Assumptions'!A81</f>
        <v>Summer School</v>
      </c>
      <c r="B81" s="28"/>
      <c r="C81" s="28"/>
      <c r="D81" s="101">
        <f>'Budget with Assumptions'!J81</f>
        <v>0</v>
      </c>
      <c r="E81" s="271"/>
      <c r="F81" s="101">
        <f>'Budget with Assumptions'!L81</f>
        <v>1750</v>
      </c>
      <c r="G81" s="271"/>
      <c r="H81" s="101">
        <f>'Budget with Assumptions'!N81</f>
        <v>2625</v>
      </c>
      <c r="I81" s="271"/>
      <c r="J81" s="101">
        <f>'Budget with Assumptions'!P81</f>
        <v>3500</v>
      </c>
      <c r="K81" s="272"/>
      <c r="L81" s="101">
        <f>'Budget with Assumptions'!R81</f>
        <v>3500</v>
      </c>
      <c r="M81" s="262"/>
      <c r="N81" s="101">
        <f>'Budget with Assumptions'!T81</f>
        <v>3500</v>
      </c>
      <c r="O81"/>
      <c r="P81" s="286">
        <f t="shared" si="15"/>
        <v>0.0016361966108636827</v>
      </c>
      <c r="Q81" s="286">
        <f t="shared" si="16"/>
        <v>0.001776771618295276</v>
      </c>
      <c r="R81" s="286">
        <f t="shared" si="17"/>
        <v>0.0017356661790438564</v>
      </c>
      <c r="S81" s="286">
        <f t="shared" si="18"/>
        <v>0.0017224685505144077</v>
      </c>
      <c r="T81" s="286">
        <f t="shared" si="19"/>
        <v>0.0017042377356825187</v>
      </c>
      <c r="U81"/>
      <c r="V81" s="295">
        <f t="shared" si="20"/>
        <v>19.444444444444443</v>
      </c>
      <c r="W81" s="295">
        <f t="shared" si="21"/>
        <v>19.444444444444443</v>
      </c>
      <c r="X81" s="295">
        <f t="shared" si="22"/>
        <v>19.444444444444443</v>
      </c>
      <c r="Y81" s="295">
        <f t="shared" si="23"/>
        <v>19.444444444444443</v>
      </c>
      <c r="Z81" s="295">
        <f t="shared" si="24"/>
        <v>19.444444444444443</v>
      </c>
    </row>
    <row r="82" spans="1:26" ht="15">
      <c r="A82" s="167">
        <f>'Budget with Assumptions'!A82</f>
        <v>0</v>
      </c>
      <c r="B82" s="28"/>
      <c r="C82" s="28"/>
      <c r="D82" s="101">
        <f>'Budget with Assumptions'!J82</f>
        <v>0</v>
      </c>
      <c r="E82" s="271"/>
      <c r="F82" s="101">
        <f>'Budget with Assumptions'!L82</f>
        <v>0</v>
      </c>
      <c r="G82" s="271"/>
      <c r="H82" s="101">
        <f>'Budget with Assumptions'!N82</f>
        <v>0</v>
      </c>
      <c r="I82" s="271"/>
      <c r="J82" s="101">
        <f>'Budget with Assumptions'!P82</f>
        <v>0</v>
      </c>
      <c r="K82" s="272"/>
      <c r="L82" s="101">
        <f>'Budget with Assumptions'!R82</f>
        <v>0</v>
      </c>
      <c r="M82" s="262"/>
      <c r="N82" s="101">
        <f>'Budget with Assumptions'!T82</f>
        <v>0</v>
      </c>
      <c r="O82"/>
      <c r="P82" s="286">
        <f t="shared" si="15"/>
        <v>0</v>
      </c>
      <c r="Q82" s="286">
        <f t="shared" si="16"/>
        <v>0</v>
      </c>
      <c r="R82" s="286">
        <f t="shared" si="17"/>
        <v>0</v>
      </c>
      <c r="S82" s="286">
        <f t="shared" si="18"/>
        <v>0</v>
      </c>
      <c r="T82" s="286">
        <f t="shared" si="19"/>
        <v>0</v>
      </c>
      <c r="U82"/>
      <c r="V82" s="295">
        <f t="shared" si="20"/>
        <v>0</v>
      </c>
      <c r="W82" s="295">
        <f t="shared" si="21"/>
        <v>0</v>
      </c>
      <c r="X82" s="295">
        <f t="shared" si="22"/>
        <v>0</v>
      </c>
      <c r="Y82" s="295">
        <f t="shared" si="23"/>
        <v>0</v>
      </c>
      <c r="Z82" s="295">
        <f t="shared" si="24"/>
        <v>0</v>
      </c>
    </row>
    <row r="83" spans="1:26" ht="15">
      <c r="A83" s="167">
        <f>'Budget with Assumptions'!A83</f>
        <v>0</v>
      </c>
      <c r="B83" s="28"/>
      <c r="C83" s="28"/>
      <c r="D83" s="101">
        <f>'Budget with Assumptions'!J83</f>
        <v>0</v>
      </c>
      <c r="E83" s="271"/>
      <c r="F83" s="101">
        <f>'Budget with Assumptions'!L83</f>
        <v>0</v>
      </c>
      <c r="G83" s="271"/>
      <c r="H83" s="101">
        <f>'Budget with Assumptions'!N83</f>
        <v>0</v>
      </c>
      <c r="I83" s="271"/>
      <c r="J83" s="101">
        <f>'Budget with Assumptions'!P83</f>
        <v>0</v>
      </c>
      <c r="K83" s="272"/>
      <c r="L83" s="101">
        <f>'Budget with Assumptions'!R83</f>
        <v>0</v>
      </c>
      <c r="M83" s="262"/>
      <c r="N83" s="101">
        <f>'Budget with Assumptions'!T83</f>
        <v>0</v>
      </c>
      <c r="O83"/>
      <c r="P83" s="286">
        <f t="shared" si="15"/>
        <v>0</v>
      </c>
      <c r="Q83" s="286">
        <f t="shared" si="16"/>
        <v>0</v>
      </c>
      <c r="R83" s="286">
        <f t="shared" si="17"/>
        <v>0</v>
      </c>
      <c r="S83" s="286">
        <f t="shared" si="18"/>
        <v>0</v>
      </c>
      <c r="T83" s="286">
        <f t="shared" si="19"/>
        <v>0</v>
      </c>
      <c r="U83"/>
      <c r="V83" s="295">
        <f t="shared" si="20"/>
        <v>0</v>
      </c>
      <c r="W83" s="295">
        <f t="shared" si="21"/>
        <v>0</v>
      </c>
      <c r="X83" s="295">
        <f t="shared" si="22"/>
        <v>0</v>
      </c>
      <c r="Y83" s="295">
        <f t="shared" si="23"/>
        <v>0</v>
      </c>
      <c r="Z83" s="295">
        <f t="shared" si="24"/>
        <v>0</v>
      </c>
    </row>
    <row r="84" spans="2:26" ht="15" thickBot="1">
      <c r="B84" s="28"/>
      <c r="C84" s="28"/>
      <c r="D84" s="278"/>
      <c r="E84" s="271"/>
      <c r="F84" s="278"/>
      <c r="G84" s="271"/>
      <c r="H84" s="278"/>
      <c r="I84" s="271"/>
      <c r="J84" s="278"/>
      <c r="K84" s="272"/>
      <c r="L84" s="254"/>
      <c r="M84" s="262"/>
      <c r="N84" s="254"/>
      <c r="O84"/>
      <c r="P84" s="287"/>
      <c r="Q84" s="287"/>
      <c r="R84" s="287"/>
      <c r="S84" s="287"/>
      <c r="T84" s="287"/>
      <c r="U84"/>
      <c r="V84" s="195"/>
      <c r="W84" s="195"/>
      <c r="X84" s="195"/>
      <c r="Y84" s="195"/>
      <c r="Z84" s="195"/>
    </row>
    <row r="85" spans="1:26" ht="15.75" thickBot="1">
      <c r="A85" s="110" t="str">
        <f>'Budget with Assumptions'!H85</f>
        <v>Total Personnel Costs</v>
      </c>
      <c r="B85" s="23"/>
      <c r="C85" s="23"/>
      <c r="D85" s="132">
        <f>SUM(D62:D83)</f>
        <v>113613.75</v>
      </c>
      <c r="E85" s="98"/>
      <c r="F85" s="132">
        <f>SUM(F62:F83)</f>
        <v>623611.85</v>
      </c>
      <c r="G85" s="98"/>
      <c r="H85" s="132">
        <f>SUM(H62:H83)</f>
        <v>987355.7780000002</v>
      </c>
      <c r="I85" s="98"/>
      <c r="J85" s="132">
        <f>SUM(J62:J83)</f>
        <v>1355281.94468</v>
      </c>
      <c r="K85" s="99"/>
      <c r="L85" s="132">
        <f>SUM(L62:L83)</f>
        <v>1382082.5835736003</v>
      </c>
      <c r="M85" s="247"/>
      <c r="N85" s="132">
        <f>SUM(N62:N83)</f>
        <v>1409419.235245072</v>
      </c>
      <c r="O85"/>
      <c r="P85" s="161">
        <f>SUM(P62:P83)</f>
        <v>0.5830580545511035</v>
      </c>
      <c r="Q85" s="161">
        <f>SUM(Q62:Q83)</f>
        <v>0.6683069422896196</v>
      </c>
      <c r="R85" s="161">
        <f>SUM(R62:R83)</f>
        <v>0.6720905812713894</v>
      </c>
      <c r="S85" s="161">
        <f>SUM(S62:S83)</f>
        <v>0.6801696526912077</v>
      </c>
      <c r="T85" s="161">
        <f>SUM(T62:T83)</f>
        <v>0.6862815560289854</v>
      </c>
      <c r="U85"/>
      <c r="V85" s="163">
        <f>SUM(V62:V83)</f>
        <v>6929.020555555555</v>
      </c>
      <c r="W85" s="163">
        <f>SUM(W62:W83)</f>
        <v>7313.746503703703</v>
      </c>
      <c r="X85" s="163">
        <f>SUM(X62:X83)</f>
        <v>7529.344137111111</v>
      </c>
      <c r="Y85" s="163">
        <f>SUM(Y62:Y83)</f>
        <v>7678.236575408889</v>
      </c>
      <c r="Z85" s="163">
        <f>SUM(Z62:Z83)</f>
        <v>7830.106862472621</v>
      </c>
    </row>
    <row r="86" spans="1:26" ht="15" thickBot="1">
      <c r="A86" s="26"/>
      <c r="B86" s="21"/>
      <c r="C86" s="21"/>
      <c r="D86" s="195"/>
      <c r="E86" s="195"/>
      <c r="F86" s="195"/>
      <c r="G86" s="195"/>
      <c r="H86" s="195"/>
      <c r="I86" s="195"/>
      <c r="J86" s="195"/>
      <c r="K86" s="248"/>
      <c r="L86" s="195"/>
      <c r="M86" s="248"/>
      <c r="N86" s="195"/>
      <c r="P86" s="287"/>
      <c r="Q86" s="287"/>
      <c r="R86" s="287"/>
      <c r="S86" s="287"/>
      <c r="T86" s="287"/>
      <c r="V86" s="195"/>
      <c r="W86" s="195"/>
      <c r="X86" s="195"/>
      <c r="Y86" s="195"/>
      <c r="Z86" s="195"/>
    </row>
    <row r="87" spans="1:26" ht="18" thickBot="1">
      <c r="A87" s="160" t="s">
        <v>60</v>
      </c>
      <c r="B87" s="27"/>
      <c r="C87" s="27"/>
      <c r="D87" s="277"/>
      <c r="E87" s="271"/>
      <c r="F87" s="277"/>
      <c r="G87" s="271"/>
      <c r="H87" s="277"/>
      <c r="I87" s="271"/>
      <c r="J87" s="277"/>
      <c r="K87" s="272"/>
      <c r="L87" s="40"/>
      <c r="M87" s="262"/>
      <c r="N87" s="40"/>
      <c r="O87"/>
      <c r="P87" s="287"/>
      <c r="Q87" s="287"/>
      <c r="R87" s="287"/>
      <c r="S87" s="287"/>
      <c r="T87" s="287"/>
      <c r="U87"/>
      <c r="V87" s="195"/>
      <c r="W87" s="195"/>
      <c r="X87" s="195"/>
      <c r="Y87" s="195"/>
      <c r="Z87" s="195"/>
    </row>
    <row r="88" spans="1:26" ht="15">
      <c r="A88" s="167" t="str">
        <f>'Budget with Assumptions'!A88</f>
        <v>Office Supplies</v>
      </c>
      <c r="B88" s="21"/>
      <c r="C88" s="21"/>
      <c r="D88" s="101">
        <f>'Budget with Assumptions'!J88</f>
        <v>0</v>
      </c>
      <c r="E88" s="271"/>
      <c r="F88" s="101">
        <f>'Budget with Assumptions'!L88</f>
        <v>1800</v>
      </c>
      <c r="G88" s="271"/>
      <c r="H88" s="101">
        <f>'Budget with Assumptions'!N88</f>
        <v>2800</v>
      </c>
      <c r="I88" s="271"/>
      <c r="J88" s="101">
        <f>'Budget with Assumptions'!P88</f>
        <v>3800</v>
      </c>
      <c r="K88" s="272"/>
      <c r="L88" s="101">
        <f>'Budget with Assumptions'!R88</f>
        <v>3800</v>
      </c>
      <c r="M88" s="262"/>
      <c r="N88" s="101">
        <f>'Budget with Assumptions'!T88</f>
        <v>3800</v>
      </c>
      <c r="O88"/>
      <c r="P88" s="286">
        <f aca="true" t="shared" si="25" ref="P88:P107">F88/$F$152</f>
        <v>0.0016829450854597878</v>
      </c>
      <c r="Q88" s="286">
        <f aca="true" t="shared" si="26" ref="Q88:Q107">H88/$H$152</f>
        <v>0.001895223059514961</v>
      </c>
      <c r="R88" s="286">
        <f aca="true" t="shared" si="27" ref="R88:R107">J88/$J$152</f>
        <v>0.001884437565819044</v>
      </c>
      <c r="S88" s="286">
        <f aca="true" t="shared" si="28" ref="S88:S107">L88/$L$152</f>
        <v>0.0018701087119870712</v>
      </c>
      <c r="T88" s="286">
        <f aca="true" t="shared" si="29" ref="T88:T107">N88/$N$152</f>
        <v>0.0018503152558838776</v>
      </c>
      <c r="U88"/>
      <c r="V88" s="295">
        <f>F88/$F$171</f>
        <v>20</v>
      </c>
      <c r="W88" s="295">
        <f>H88/$H$171</f>
        <v>20.74074074074074</v>
      </c>
      <c r="X88" s="295">
        <f>J88/$J$171</f>
        <v>21.11111111111111</v>
      </c>
      <c r="Y88" s="295">
        <f>L88/$L$171</f>
        <v>21.11111111111111</v>
      </c>
      <c r="Z88" s="295">
        <f>N88/$N$171</f>
        <v>21.11111111111111</v>
      </c>
    </row>
    <row r="89" spans="1:26" ht="15">
      <c r="A89" s="167" t="str">
        <f>'Budget with Assumptions'!A89</f>
        <v>Furniture</v>
      </c>
      <c r="B89" s="23"/>
      <c r="C89" s="23"/>
      <c r="D89" s="101">
        <f>'Budget with Assumptions'!J89</f>
        <v>3500</v>
      </c>
      <c r="E89" s="271"/>
      <c r="F89" s="101">
        <f>'Budget with Assumptions'!L89</f>
        <v>1500</v>
      </c>
      <c r="G89" s="271"/>
      <c r="H89" s="101">
        <f>'Budget with Assumptions'!N89</f>
        <v>4000</v>
      </c>
      <c r="I89" s="271"/>
      <c r="J89" s="101">
        <f>'Budget with Assumptions'!P89</f>
        <v>0</v>
      </c>
      <c r="K89" s="272"/>
      <c r="L89" s="101">
        <f>'Budget with Assumptions'!R89</f>
        <v>0</v>
      </c>
      <c r="M89" s="262"/>
      <c r="N89" s="101">
        <f>'Budget with Assumptions'!T89</f>
        <v>0</v>
      </c>
      <c r="O89"/>
      <c r="P89" s="286">
        <f t="shared" si="25"/>
        <v>0.0014024542378831566</v>
      </c>
      <c r="Q89" s="286">
        <f t="shared" si="26"/>
        <v>0.0027074615135928015</v>
      </c>
      <c r="R89" s="286">
        <f t="shared" si="27"/>
        <v>0</v>
      </c>
      <c r="S89" s="286">
        <f t="shared" si="28"/>
        <v>0</v>
      </c>
      <c r="T89" s="286">
        <f t="shared" si="29"/>
        <v>0</v>
      </c>
      <c r="U89"/>
      <c r="V89" s="295">
        <f aca="true" t="shared" si="30" ref="V89:V107">F89/$F$171</f>
        <v>16.666666666666668</v>
      </c>
      <c r="W89" s="295">
        <f aca="true" t="shared" si="31" ref="W89:W107">H89/$H$171</f>
        <v>29.62962962962963</v>
      </c>
      <c r="X89" s="295">
        <f aca="true" t="shared" si="32" ref="X89:X107">J89/$J$171</f>
        <v>0</v>
      </c>
      <c r="Y89" s="295">
        <f aca="true" t="shared" si="33" ref="Y89:Y107">L89/$L$171</f>
        <v>0</v>
      </c>
      <c r="Z89" s="295">
        <f aca="true" t="shared" si="34" ref="Z89:Z107">N89/$N$171</f>
        <v>0</v>
      </c>
    </row>
    <row r="90" spans="1:26" ht="15">
      <c r="A90" s="167" t="str">
        <f>'Budget with Assumptions'!A90</f>
        <v>Telecommunications and Internet</v>
      </c>
      <c r="B90" s="23"/>
      <c r="C90" s="23"/>
      <c r="D90" s="101">
        <f>'Budget with Assumptions'!J90</f>
        <v>6000</v>
      </c>
      <c r="E90" s="271"/>
      <c r="F90" s="101">
        <f>'Budget with Assumptions'!L90</f>
        <v>4800</v>
      </c>
      <c r="G90" s="271"/>
      <c r="H90" s="101">
        <f>'Budget with Assumptions'!N90</f>
        <v>4800</v>
      </c>
      <c r="I90" s="271"/>
      <c r="J90" s="101">
        <f>'Budget with Assumptions'!P90</f>
        <v>4800</v>
      </c>
      <c r="K90" s="272"/>
      <c r="L90" s="101">
        <f>'Budget with Assumptions'!R90</f>
        <v>4800</v>
      </c>
      <c r="M90" s="262"/>
      <c r="N90" s="101">
        <f>'Budget with Assumptions'!T90</f>
        <v>4800</v>
      </c>
      <c r="O90"/>
      <c r="P90" s="286">
        <f t="shared" si="25"/>
        <v>0.004487853561226101</v>
      </c>
      <c r="Q90" s="286">
        <f t="shared" si="26"/>
        <v>0.0032489538163113616</v>
      </c>
      <c r="R90" s="286">
        <f t="shared" si="27"/>
        <v>0.002380342188403003</v>
      </c>
      <c r="S90" s="286">
        <f t="shared" si="28"/>
        <v>0.0023622425835626163</v>
      </c>
      <c r="T90" s="286">
        <f t="shared" si="29"/>
        <v>0.00233724032322174</v>
      </c>
      <c r="U90"/>
      <c r="V90" s="295">
        <f t="shared" si="30"/>
        <v>53.333333333333336</v>
      </c>
      <c r="W90" s="295">
        <f t="shared" si="31"/>
        <v>35.55555555555556</v>
      </c>
      <c r="X90" s="295">
        <f t="shared" si="32"/>
        <v>26.666666666666668</v>
      </c>
      <c r="Y90" s="295">
        <f t="shared" si="33"/>
        <v>26.666666666666668</v>
      </c>
      <c r="Z90" s="295">
        <f t="shared" si="34"/>
        <v>26.666666666666668</v>
      </c>
    </row>
    <row r="91" spans="1:26" ht="15">
      <c r="A91" s="167" t="str">
        <f>'Budget with Assumptions'!A91</f>
        <v>Administrative Equipment</v>
      </c>
      <c r="B91" s="23"/>
      <c r="C91" s="23"/>
      <c r="D91" s="101">
        <f>'Budget with Assumptions'!J91</f>
        <v>0</v>
      </c>
      <c r="E91" s="271"/>
      <c r="F91" s="101">
        <f>'Budget with Assumptions'!L91</f>
        <v>0</v>
      </c>
      <c r="G91" s="271"/>
      <c r="H91" s="101">
        <f>'Budget with Assumptions'!N91</f>
        <v>0</v>
      </c>
      <c r="I91" s="271"/>
      <c r="J91" s="101">
        <f>'Budget with Assumptions'!P91</f>
        <v>0</v>
      </c>
      <c r="K91" s="272"/>
      <c r="L91" s="101">
        <f>'Budget with Assumptions'!R91</f>
        <v>0</v>
      </c>
      <c r="M91" s="262"/>
      <c r="N91" s="101">
        <f>'Budget with Assumptions'!T91</f>
        <v>0</v>
      </c>
      <c r="O91"/>
      <c r="P91" s="286">
        <f t="shared" si="25"/>
        <v>0</v>
      </c>
      <c r="Q91" s="286">
        <f t="shared" si="26"/>
        <v>0</v>
      </c>
      <c r="R91" s="286">
        <f t="shared" si="27"/>
        <v>0</v>
      </c>
      <c r="S91" s="286">
        <f t="shared" si="28"/>
        <v>0</v>
      </c>
      <c r="T91" s="286">
        <f t="shared" si="29"/>
        <v>0</v>
      </c>
      <c r="U91"/>
      <c r="V91" s="295">
        <f t="shared" si="30"/>
        <v>0</v>
      </c>
      <c r="W91" s="295">
        <f t="shared" si="31"/>
        <v>0</v>
      </c>
      <c r="X91" s="295">
        <f t="shared" si="32"/>
        <v>0</v>
      </c>
      <c r="Y91" s="295">
        <f t="shared" si="33"/>
        <v>0</v>
      </c>
      <c r="Z91" s="295">
        <f t="shared" si="34"/>
        <v>0</v>
      </c>
    </row>
    <row r="92" spans="1:26" ht="15">
      <c r="A92" s="167" t="str">
        <f>'Budget with Assumptions'!A92</f>
        <v>Accounting &amp; Audit (Contractual)</v>
      </c>
      <c r="B92" s="23"/>
      <c r="C92" s="23"/>
      <c r="D92" s="101">
        <f>'Budget with Assumptions'!J92</f>
        <v>0</v>
      </c>
      <c r="E92" s="271"/>
      <c r="F92" s="101">
        <f>'Budget with Assumptions'!L92</f>
        <v>45000</v>
      </c>
      <c r="G92" s="271"/>
      <c r="H92" s="101">
        <f>'Budget with Assumptions'!N92</f>
        <v>45000</v>
      </c>
      <c r="I92" s="271"/>
      <c r="J92" s="101">
        <f>'Budget with Assumptions'!P92</f>
        <v>45000</v>
      </c>
      <c r="K92" s="272"/>
      <c r="L92" s="101">
        <f>'Budget with Assumptions'!R92</f>
        <v>45000</v>
      </c>
      <c r="M92" s="262"/>
      <c r="N92" s="101">
        <f>'Budget with Assumptions'!T92</f>
        <v>45000</v>
      </c>
      <c r="O92"/>
      <c r="P92" s="286">
        <f t="shared" si="25"/>
        <v>0.04207362713649469</v>
      </c>
      <c r="Q92" s="286">
        <f t="shared" si="26"/>
        <v>0.030458942027919014</v>
      </c>
      <c r="R92" s="286">
        <f t="shared" si="27"/>
        <v>0.022315708016278153</v>
      </c>
      <c r="S92" s="286">
        <f t="shared" si="28"/>
        <v>0.022146024220899528</v>
      </c>
      <c r="T92" s="286">
        <f t="shared" si="29"/>
        <v>0.021911628030203814</v>
      </c>
      <c r="U92"/>
      <c r="V92" s="295">
        <f t="shared" si="30"/>
        <v>500</v>
      </c>
      <c r="W92" s="295">
        <f t="shared" si="31"/>
        <v>333.3333333333333</v>
      </c>
      <c r="X92" s="295">
        <f t="shared" si="32"/>
        <v>250</v>
      </c>
      <c r="Y92" s="295">
        <f t="shared" si="33"/>
        <v>250</v>
      </c>
      <c r="Z92" s="295">
        <f t="shared" si="34"/>
        <v>250</v>
      </c>
    </row>
    <row r="93" spans="1:26" ht="15">
      <c r="A93" s="167" t="str">
        <f>'Budget with Assumptions'!A93</f>
        <v>Legal (Contractual)</v>
      </c>
      <c r="B93" s="23"/>
      <c r="C93" s="23"/>
      <c r="D93" s="101">
        <f>'Budget with Assumptions'!J93</f>
        <v>4000</v>
      </c>
      <c r="E93" s="271"/>
      <c r="F93" s="101">
        <f>'Budget with Assumptions'!L93</f>
        <v>4000</v>
      </c>
      <c r="G93" s="271"/>
      <c r="H93" s="101">
        <f>'Budget with Assumptions'!N93</f>
        <v>4000</v>
      </c>
      <c r="I93" s="271"/>
      <c r="J93" s="101">
        <f>'Budget with Assumptions'!P93</f>
        <v>4000</v>
      </c>
      <c r="K93" s="272"/>
      <c r="L93" s="101">
        <f>'Budget with Assumptions'!R93</f>
        <v>4000</v>
      </c>
      <c r="M93" s="262"/>
      <c r="N93" s="101">
        <f>'Budget with Assumptions'!T93</f>
        <v>4000</v>
      </c>
      <c r="O93"/>
      <c r="P93" s="286">
        <f t="shared" si="25"/>
        <v>0.003739877967688417</v>
      </c>
      <c r="Q93" s="286">
        <f t="shared" si="26"/>
        <v>0.0027074615135928015</v>
      </c>
      <c r="R93" s="286">
        <f t="shared" si="27"/>
        <v>0.001983618490335836</v>
      </c>
      <c r="S93" s="286">
        <f t="shared" si="28"/>
        <v>0.0019685354863021804</v>
      </c>
      <c r="T93" s="286">
        <f t="shared" si="29"/>
        <v>0.0019477002693514501</v>
      </c>
      <c r="U93"/>
      <c r="V93" s="295">
        <f t="shared" si="30"/>
        <v>44.44444444444444</v>
      </c>
      <c r="W93" s="295">
        <f t="shared" si="31"/>
        <v>29.62962962962963</v>
      </c>
      <c r="X93" s="295">
        <f t="shared" si="32"/>
        <v>22.22222222222222</v>
      </c>
      <c r="Y93" s="295">
        <f t="shared" si="33"/>
        <v>22.22222222222222</v>
      </c>
      <c r="Z93" s="295">
        <f t="shared" si="34"/>
        <v>22.22222222222222</v>
      </c>
    </row>
    <row r="94" spans="1:26" ht="15">
      <c r="A94" s="167" t="str">
        <f>'Budget with Assumptions'!A94</f>
        <v>Payroll Services (Contractual)</v>
      </c>
      <c r="B94" s="23"/>
      <c r="C94" s="23"/>
      <c r="D94" s="101">
        <f>'Budget with Assumptions'!J94</f>
        <v>390</v>
      </c>
      <c r="E94" s="271"/>
      <c r="F94" s="101">
        <f>'Budget with Assumptions'!L94</f>
        <v>780</v>
      </c>
      <c r="G94" s="271"/>
      <c r="H94" s="101">
        <f>'Budget with Assumptions'!N94</f>
        <v>780</v>
      </c>
      <c r="I94" s="271"/>
      <c r="J94" s="101">
        <f>'Budget with Assumptions'!P94</f>
        <v>780</v>
      </c>
      <c r="K94" s="272"/>
      <c r="L94" s="101">
        <f>'Budget with Assumptions'!R94</f>
        <v>780</v>
      </c>
      <c r="M94" s="262"/>
      <c r="N94" s="101">
        <f>'Budget with Assumptions'!T94</f>
        <v>780</v>
      </c>
      <c r="O94"/>
      <c r="P94" s="286">
        <f t="shared" si="25"/>
        <v>0.0007292762036992413</v>
      </c>
      <c r="Q94" s="286">
        <f t="shared" si="26"/>
        <v>0.0005279549951505962</v>
      </c>
      <c r="R94" s="286">
        <f t="shared" si="27"/>
        <v>0.000386805605615488</v>
      </c>
      <c r="S94" s="286">
        <f t="shared" si="28"/>
        <v>0.00038386441982892513</v>
      </c>
      <c r="T94" s="286">
        <f t="shared" si="29"/>
        <v>0.00037980155252353276</v>
      </c>
      <c r="U94"/>
      <c r="V94" s="295">
        <f t="shared" si="30"/>
        <v>8.666666666666666</v>
      </c>
      <c r="W94" s="295">
        <f t="shared" si="31"/>
        <v>5.777777777777778</v>
      </c>
      <c r="X94" s="295">
        <f t="shared" si="32"/>
        <v>4.333333333333333</v>
      </c>
      <c r="Y94" s="295">
        <f t="shared" si="33"/>
        <v>4.333333333333333</v>
      </c>
      <c r="Z94" s="295">
        <f t="shared" si="34"/>
        <v>4.333333333333333</v>
      </c>
    </row>
    <row r="95" spans="1:26" ht="15">
      <c r="A95" s="167" t="str">
        <f>'Budget with Assumptions'!A95</f>
        <v>Printing &amp; Copying</v>
      </c>
      <c r="B95" s="23"/>
      <c r="C95" s="23"/>
      <c r="D95" s="101">
        <f>'Budget with Assumptions'!J95</f>
        <v>0</v>
      </c>
      <c r="E95" s="271"/>
      <c r="F95" s="101">
        <f>'Budget with Assumptions'!L95</f>
        <v>900</v>
      </c>
      <c r="G95" s="271"/>
      <c r="H95" s="101">
        <f>'Budget with Assumptions'!N95</f>
        <v>1350</v>
      </c>
      <c r="I95" s="271"/>
      <c r="J95" s="101">
        <f>'Budget with Assumptions'!P95</f>
        <v>1800</v>
      </c>
      <c r="K95" s="272"/>
      <c r="L95" s="101">
        <f>'Budget with Assumptions'!R95</f>
        <v>1800</v>
      </c>
      <c r="M95" s="262"/>
      <c r="N95" s="101">
        <f>'Budget with Assumptions'!T95</f>
        <v>1800</v>
      </c>
      <c r="O95"/>
      <c r="P95" s="286">
        <f t="shared" si="25"/>
        <v>0.0008414725427298939</v>
      </c>
      <c r="Q95" s="286">
        <f t="shared" si="26"/>
        <v>0.0009137682608375704</v>
      </c>
      <c r="R95" s="286">
        <f t="shared" si="27"/>
        <v>0.0008926283206511261</v>
      </c>
      <c r="S95" s="286">
        <f t="shared" si="28"/>
        <v>0.0008858409688359811</v>
      </c>
      <c r="T95" s="286">
        <f t="shared" si="29"/>
        <v>0.0008764651212081526</v>
      </c>
      <c r="U95"/>
      <c r="V95" s="295">
        <f t="shared" si="30"/>
        <v>10</v>
      </c>
      <c r="W95" s="295">
        <f t="shared" si="31"/>
        <v>10</v>
      </c>
      <c r="X95" s="295">
        <f t="shared" si="32"/>
        <v>10</v>
      </c>
      <c r="Y95" s="295">
        <f t="shared" si="33"/>
        <v>10</v>
      </c>
      <c r="Z95" s="295">
        <f t="shared" si="34"/>
        <v>10</v>
      </c>
    </row>
    <row r="96" spans="1:26" ht="15">
      <c r="A96" s="167" t="str">
        <f>'Budget with Assumptions'!A96</f>
        <v>Postage &amp; Shipping</v>
      </c>
      <c r="B96" s="23"/>
      <c r="C96" s="23"/>
      <c r="D96" s="101">
        <f>'Budget with Assumptions'!J96</f>
        <v>0</v>
      </c>
      <c r="E96" s="271"/>
      <c r="F96" s="101">
        <f>'Budget with Assumptions'!L96</f>
        <v>450</v>
      </c>
      <c r="G96" s="271"/>
      <c r="H96" s="101">
        <f>'Budget with Assumptions'!N96</f>
        <v>675</v>
      </c>
      <c r="I96" s="271"/>
      <c r="J96" s="101">
        <f>'Budget with Assumptions'!P96</f>
        <v>900</v>
      </c>
      <c r="K96" s="272"/>
      <c r="L96" s="101">
        <f>'Budget with Assumptions'!R96</f>
        <v>900</v>
      </c>
      <c r="M96" s="262"/>
      <c r="N96" s="101">
        <f>'Budget with Assumptions'!T96</f>
        <v>900</v>
      </c>
      <c r="O96"/>
      <c r="P96" s="286">
        <f t="shared" si="25"/>
        <v>0.00042073627136494696</v>
      </c>
      <c r="Q96" s="286">
        <f t="shared" si="26"/>
        <v>0.0004568841304187852</v>
      </c>
      <c r="R96" s="286">
        <f t="shared" si="27"/>
        <v>0.00044631416032556306</v>
      </c>
      <c r="S96" s="286">
        <f t="shared" si="28"/>
        <v>0.00044292048441799055</v>
      </c>
      <c r="T96" s="286">
        <f t="shared" si="29"/>
        <v>0.0004382325606040763</v>
      </c>
      <c r="U96"/>
      <c r="V96" s="295">
        <f t="shared" si="30"/>
        <v>5</v>
      </c>
      <c r="W96" s="295">
        <f t="shared" si="31"/>
        <v>5</v>
      </c>
      <c r="X96" s="295">
        <f t="shared" si="32"/>
        <v>5</v>
      </c>
      <c r="Y96" s="295">
        <f t="shared" si="33"/>
        <v>5</v>
      </c>
      <c r="Z96" s="295">
        <f t="shared" si="34"/>
        <v>5</v>
      </c>
    </row>
    <row r="97" spans="1:26" ht="15">
      <c r="A97" s="167" t="str">
        <f>'Budget with Assumptions'!A97</f>
        <v>Other Contractual Services</v>
      </c>
      <c r="B97" s="23"/>
      <c r="C97" s="23"/>
      <c r="D97" s="101">
        <f>'Budget with Assumptions'!J97</f>
        <v>0</v>
      </c>
      <c r="E97" s="271"/>
      <c r="F97" s="101">
        <f>'Budget with Assumptions'!L97</f>
        <v>0</v>
      </c>
      <c r="G97" s="271"/>
      <c r="H97" s="101">
        <f>'Budget with Assumptions'!N97</f>
        <v>0</v>
      </c>
      <c r="I97" s="271"/>
      <c r="J97" s="101">
        <f>'Budget with Assumptions'!P97</f>
        <v>0</v>
      </c>
      <c r="K97" s="272"/>
      <c r="L97" s="101">
        <f>'Budget with Assumptions'!R97</f>
        <v>0</v>
      </c>
      <c r="M97" s="262"/>
      <c r="N97" s="101">
        <f>'Budget with Assumptions'!T97</f>
        <v>0</v>
      </c>
      <c r="O97"/>
      <c r="P97" s="286">
        <f t="shared" si="25"/>
        <v>0</v>
      </c>
      <c r="Q97" s="286">
        <f t="shared" si="26"/>
        <v>0</v>
      </c>
      <c r="R97" s="286">
        <f t="shared" si="27"/>
        <v>0</v>
      </c>
      <c r="S97" s="286">
        <f t="shared" si="28"/>
        <v>0</v>
      </c>
      <c r="T97" s="286">
        <f t="shared" si="29"/>
        <v>0</v>
      </c>
      <c r="U97"/>
      <c r="V97" s="295">
        <f t="shared" si="30"/>
        <v>0</v>
      </c>
      <c r="W97" s="295">
        <f t="shared" si="31"/>
        <v>0</v>
      </c>
      <c r="X97" s="295">
        <f t="shared" si="32"/>
        <v>0</v>
      </c>
      <c r="Y97" s="295">
        <f t="shared" si="33"/>
        <v>0</v>
      </c>
      <c r="Z97" s="295">
        <f t="shared" si="34"/>
        <v>0</v>
      </c>
    </row>
    <row r="98" spans="1:26" ht="15">
      <c r="A98" s="167" t="str">
        <f>'Budget with Assumptions'!A98</f>
        <v>Travel</v>
      </c>
      <c r="B98" s="23"/>
      <c r="C98" s="23"/>
      <c r="D98" s="101">
        <f>'Budget with Assumptions'!J98</f>
        <v>0</v>
      </c>
      <c r="E98" s="271"/>
      <c r="F98" s="101">
        <f>'Budget with Assumptions'!L98</f>
        <v>0</v>
      </c>
      <c r="G98" s="271"/>
      <c r="H98" s="101">
        <f>'Budget with Assumptions'!N98</f>
        <v>0</v>
      </c>
      <c r="I98" s="271"/>
      <c r="J98" s="101">
        <f>'Budget with Assumptions'!P98</f>
        <v>0</v>
      </c>
      <c r="K98" s="272"/>
      <c r="L98" s="101">
        <f>'Budget with Assumptions'!R98</f>
        <v>0</v>
      </c>
      <c r="M98" s="262"/>
      <c r="N98" s="101">
        <f>'Budget with Assumptions'!T98</f>
        <v>0</v>
      </c>
      <c r="O98"/>
      <c r="P98" s="286">
        <f t="shared" si="25"/>
        <v>0</v>
      </c>
      <c r="Q98" s="286">
        <f t="shared" si="26"/>
        <v>0</v>
      </c>
      <c r="R98" s="286">
        <f t="shared" si="27"/>
        <v>0</v>
      </c>
      <c r="S98" s="286">
        <f t="shared" si="28"/>
        <v>0</v>
      </c>
      <c r="T98" s="286">
        <f t="shared" si="29"/>
        <v>0</v>
      </c>
      <c r="U98"/>
      <c r="V98" s="295">
        <f t="shared" si="30"/>
        <v>0</v>
      </c>
      <c r="W98" s="295">
        <f t="shared" si="31"/>
        <v>0</v>
      </c>
      <c r="X98" s="295">
        <f t="shared" si="32"/>
        <v>0</v>
      </c>
      <c r="Y98" s="295">
        <f t="shared" si="33"/>
        <v>0</v>
      </c>
      <c r="Z98" s="295">
        <f t="shared" si="34"/>
        <v>0</v>
      </c>
    </row>
    <row r="99" spans="1:26" ht="15">
      <c r="A99" s="167" t="str">
        <f>'Budget with Assumptions'!A99</f>
        <v>CPS Administrative Fee</v>
      </c>
      <c r="B99" s="23"/>
      <c r="C99" s="23"/>
      <c r="D99" s="101">
        <f>'Budget with Assumptions'!J99</f>
        <v>0</v>
      </c>
      <c r="E99" s="271"/>
      <c r="F99" s="101">
        <f>'Budget with Assumptions'!L99</f>
        <v>19719.801</v>
      </c>
      <c r="G99" s="271"/>
      <c r="H99" s="101">
        <f>'Budget with Assumptions'!N99</f>
        <v>29579.7015</v>
      </c>
      <c r="I99" s="271"/>
      <c r="J99" s="101">
        <f>'Budget with Assumptions'!P99</f>
        <v>39439.602</v>
      </c>
      <c r="K99" s="272"/>
      <c r="L99" s="101">
        <f>'Budget with Assumptions'!R99</f>
        <v>39439.602</v>
      </c>
      <c r="M99" s="262"/>
      <c r="N99" s="101">
        <f>'Budget with Assumptions'!T99</f>
        <v>39439.602</v>
      </c>
      <c r="O99"/>
      <c r="P99" s="286">
        <f t="shared" si="25"/>
        <v>0.018437412321775006</v>
      </c>
      <c r="Q99" s="286">
        <f t="shared" si="26"/>
        <v>0.020021475848703313</v>
      </c>
      <c r="R99" s="286">
        <f t="shared" si="27"/>
        <v>0.019558280944671554</v>
      </c>
      <c r="S99" s="286">
        <f t="shared" si="28"/>
        <v>0.019409564025658608</v>
      </c>
      <c r="T99" s="286">
        <f t="shared" si="29"/>
        <v>0.019204130859628497</v>
      </c>
      <c r="U99"/>
      <c r="V99" s="295">
        <f t="shared" si="30"/>
        <v>219.1089</v>
      </c>
      <c r="W99" s="295">
        <f t="shared" si="31"/>
        <v>219.1089</v>
      </c>
      <c r="X99" s="295">
        <f t="shared" si="32"/>
        <v>219.1089</v>
      </c>
      <c r="Y99" s="295">
        <f t="shared" si="33"/>
        <v>219.1089</v>
      </c>
      <c r="Z99" s="295">
        <f t="shared" si="34"/>
        <v>219.1089</v>
      </c>
    </row>
    <row r="100" spans="1:26" ht="15">
      <c r="A100" s="167" t="str">
        <f>'Budget with Assumptions'!A100</f>
        <v>Teacher Technology</v>
      </c>
      <c r="B100" s="23"/>
      <c r="C100" s="23"/>
      <c r="D100" s="101">
        <f>'Budget with Assumptions'!J100</f>
        <v>4500</v>
      </c>
      <c r="E100" s="271"/>
      <c r="F100" s="101">
        <f>'Budget with Assumptions'!L100</f>
        <v>0</v>
      </c>
      <c r="G100" s="271"/>
      <c r="H100" s="101">
        <f>'Budget with Assumptions'!N100</f>
        <v>2500</v>
      </c>
      <c r="I100" s="271"/>
      <c r="J100" s="101">
        <f>'Budget with Assumptions'!P100</f>
        <v>2500</v>
      </c>
      <c r="K100" s="272"/>
      <c r="L100" s="101">
        <f>'Budget with Assumptions'!R100</f>
        <v>1500</v>
      </c>
      <c r="M100" s="262"/>
      <c r="N100" s="101">
        <f>'Budget with Assumptions'!T100</f>
        <v>1500</v>
      </c>
      <c r="O100"/>
      <c r="P100" s="286">
        <f t="shared" si="25"/>
        <v>0</v>
      </c>
      <c r="Q100" s="286">
        <f t="shared" si="26"/>
        <v>0.001692163445995501</v>
      </c>
      <c r="R100" s="286">
        <f t="shared" si="27"/>
        <v>0.0012397615564598975</v>
      </c>
      <c r="S100" s="286">
        <f t="shared" si="28"/>
        <v>0.0007382008073633175</v>
      </c>
      <c r="T100" s="286">
        <f t="shared" si="29"/>
        <v>0.0007303876010067938</v>
      </c>
      <c r="U100"/>
      <c r="V100" s="295">
        <f t="shared" si="30"/>
        <v>0</v>
      </c>
      <c r="W100" s="295">
        <f t="shared" si="31"/>
        <v>18.51851851851852</v>
      </c>
      <c r="X100" s="295">
        <f t="shared" si="32"/>
        <v>13.88888888888889</v>
      </c>
      <c r="Y100" s="295">
        <f t="shared" si="33"/>
        <v>8.333333333333334</v>
      </c>
      <c r="Z100" s="295">
        <f t="shared" si="34"/>
        <v>8.333333333333334</v>
      </c>
    </row>
    <row r="101" spans="1:26" ht="15">
      <c r="A101" s="167">
        <f>'Budget with Assumptions'!A101</f>
        <v>0</v>
      </c>
      <c r="B101" s="25"/>
      <c r="C101" s="25"/>
      <c r="D101" s="101">
        <f>'Budget with Assumptions'!J101</f>
        <v>0</v>
      </c>
      <c r="E101" s="271"/>
      <c r="F101" s="101">
        <f>'Budget with Assumptions'!L101</f>
        <v>0</v>
      </c>
      <c r="G101" s="271"/>
      <c r="H101" s="101">
        <f>'Budget with Assumptions'!N101</f>
        <v>0</v>
      </c>
      <c r="I101" s="271"/>
      <c r="J101" s="101">
        <f>'Budget with Assumptions'!P101</f>
        <v>0</v>
      </c>
      <c r="K101" s="272"/>
      <c r="L101" s="101">
        <f>'Budget with Assumptions'!R101</f>
        <v>0</v>
      </c>
      <c r="M101" s="262"/>
      <c r="N101" s="101">
        <f>'Budget with Assumptions'!T101</f>
        <v>0</v>
      </c>
      <c r="O101"/>
      <c r="P101" s="286">
        <f t="shared" si="25"/>
        <v>0</v>
      </c>
      <c r="Q101" s="286">
        <f t="shared" si="26"/>
        <v>0</v>
      </c>
      <c r="R101" s="286">
        <f t="shared" si="27"/>
        <v>0</v>
      </c>
      <c r="S101" s="286">
        <f t="shared" si="28"/>
        <v>0</v>
      </c>
      <c r="T101" s="286">
        <f t="shared" si="29"/>
        <v>0</v>
      </c>
      <c r="U101"/>
      <c r="V101" s="295">
        <f t="shared" si="30"/>
        <v>0</v>
      </c>
      <c r="W101" s="295">
        <f t="shared" si="31"/>
        <v>0</v>
      </c>
      <c r="X101" s="295">
        <f t="shared" si="32"/>
        <v>0</v>
      </c>
      <c r="Y101" s="295">
        <f t="shared" si="33"/>
        <v>0</v>
      </c>
      <c r="Z101" s="295">
        <f t="shared" si="34"/>
        <v>0</v>
      </c>
    </row>
    <row r="102" spans="1:26" ht="15">
      <c r="A102" s="167">
        <f>'Budget with Assumptions'!A102</f>
        <v>0</v>
      </c>
      <c r="B102" s="25"/>
      <c r="C102" s="25"/>
      <c r="D102" s="101">
        <f>'Budget with Assumptions'!J102</f>
        <v>0</v>
      </c>
      <c r="E102" s="271"/>
      <c r="F102" s="101">
        <f>'Budget with Assumptions'!L102</f>
        <v>0</v>
      </c>
      <c r="G102" s="271"/>
      <c r="H102" s="101">
        <f>'Budget with Assumptions'!N102</f>
        <v>0</v>
      </c>
      <c r="I102" s="271"/>
      <c r="J102" s="101">
        <f>'Budget with Assumptions'!P102</f>
        <v>0</v>
      </c>
      <c r="K102" s="272"/>
      <c r="L102" s="101">
        <f>'Budget with Assumptions'!R102</f>
        <v>0</v>
      </c>
      <c r="M102" s="262"/>
      <c r="N102" s="101">
        <f>'Budget with Assumptions'!T102</f>
        <v>0</v>
      </c>
      <c r="O102"/>
      <c r="P102" s="286">
        <f t="shared" si="25"/>
        <v>0</v>
      </c>
      <c r="Q102" s="286">
        <f t="shared" si="26"/>
        <v>0</v>
      </c>
      <c r="R102" s="286">
        <f t="shared" si="27"/>
        <v>0</v>
      </c>
      <c r="S102" s="286">
        <f t="shared" si="28"/>
        <v>0</v>
      </c>
      <c r="T102" s="286">
        <f t="shared" si="29"/>
        <v>0</v>
      </c>
      <c r="U102"/>
      <c r="V102" s="295">
        <f t="shared" si="30"/>
        <v>0</v>
      </c>
      <c r="W102" s="295">
        <f t="shared" si="31"/>
        <v>0</v>
      </c>
      <c r="X102" s="295">
        <f t="shared" si="32"/>
        <v>0</v>
      </c>
      <c r="Y102" s="295">
        <f t="shared" si="33"/>
        <v>0</v>
      </c>
      <c r="Z102" s="295">
        <f t="shared" si="34"/>
        <v>0</v>
      </c>
    </row>
    <row r="103" spans="1:26" ht="15">
      <c r="A103" s="167">
        <f>'Budget with Assumptions'!A103</f>
        <v>0</v>
      </c>
      <c r="B103" s="25"/>
      <c r="C103" s="25"/>
      <c r="D103" s="101">
        <f>'Budget with Assumptions'!J103</f>
        <v>0</v>
      </c>
      <c r="E103" s="271"/>
      <c r="F103" s="101">
        <f>'Budget with Assumptions'!L103</f>
        <v>0</v>
      </c>
      <c r="G103" s="271"/>
      <c r="H103" s="101">
        <f>'Budget with Assumptions'!N103</f>
        <v>0</v>
      </c>
      <c r="I103" s="271"/>
      <c r="J103" s="101">
        <f>'Budget with Assumptions'!P103</f>
        <v>0</v>
      </c>
      <c r="K103" s="272"/>
      <c r="L103" s="101">
        <f>'Budget with Assumptions'!R103</f>
        <v>0</v>
      </c>
      <c r="M103" s="262"/>
      <c r="N103" s="101">
        <f>'Budget with Assumptions'!T103</f>
        <v>0</v>
      </c>
      <c r="O103"/>
      <c r="P103" s="286">
        <f t="shared" si="25"/>
        <v>0</v>
      </c>
      <c r="Q103" s="286">
        <f t="shared" si="26"/>
        <v>0</v>
      </c>
      <c r="R103" s="286">
        <f t="shared" si="27"/>
        <v>0</v>
      </c>
      <c r="S103" s="286">
        <f t="shared" si="28"/>
        <v>0</v>
      </c>
      <c r="T103" s="286">
        <f t="shared" si="29"/>
        <v>0</v>
      </c>
      <c r="U103"/>
      <c r="V103" s="295">
        <f t="shared" si="30"/>
        <v>0</v>
      </c>
      <c r="W103" s="295">
        <f t="shared" si="31"/>
        <v>0</v>
      </c>
      <c r="X103" s="295">
        <f t="shared" si="32"/>
        <v>0</v>
      </c>
      <c r="Y103" s="295">
        <f t="shared" si="33"/>
        <v>0</v>
      </c>
      <c r="Z103" s="295">
        <f t="shared" si="34"/>
        <v>0</v>
      </c>
    </row>
    <row r="104" spans="1:26" ht="15">
      <c r="A104" s="167">
        <f>'Budget with Assumptions'!A104</f>
        <v>0</v>
      </c>
      <c r="B104" s="25"/>
      <c r="C104" s="25"/>
      <c r="D104" s="101">
        <f>'Budget with Assumptions'!J104</f>
        <v>0</v>
      </c>
      <c r="E104" s="271"/>
      <c r="F104" s="101">
        <f>'Budget with Assumptions'!L104</f>
        <v>0</v>
      </c>
      <c r="G104" s="271"/>
      <c r="H104" s="101">
        <f>'Budget with Assumptions'!N104</f>
        <v>0</v>
      </c>
      <c r="I104" s="271"/>
      <c r="J104" s="101">
        <f>'Budget with Assumptions'!P104</f>
        <v>0</v>
      </c>
      <c r="K104" s="272"/>
      <c r="L104" s="101">
        <f>'Budget with Assumptions'!R104</f>
        <v>0</v>
      </c>
      <c r="M104" s="262"/>
      <c r="N104" s="101">
        <f>'Budget with Assumptions'!T104</f>
        <v>0</v>
      </c>
      <c r="O104"/>
      <c r="P104" s="286">
        <f t="shared" si="25"/>
        <v>0</v>
      </c>
      <c r="Q104" s="286">
        <f t="shared" si="26"/>
        <v>0</v>
      </c>
      <c r="R104" s="286">
        <f t="shared" si="27"/>
        <v>0</v>
      </c>
      <c r="S104" s="286">
        <f t="shared" si="28"/>
        <v>0</v>
      </c>
      <c r="T104" s="286">
        <f t="shared" si="29"/>
        <v>0</v>
      </c>
      <c r="U104"/>
      <c r="V104" s="295">
        <f t="shared" si="30"/>
        <v>0</v>
      </c>
      <c r="W104" s="295">
        <f t="shared" si="31"/>
        <v>0</v>
      </c>
      <c r="X104" s="295">
        <f t="shared" si="32"/>
        <v>0</v>
      </c>
      <c r="Y104" s="295">
        <f t="shared" si="33"/>
        <v>0</v>
      </c>
      <c r="Z104" s="295">
        <f t="shared" si="34"/>
        <v>0</v>
      </c>
    </row>
    <row r="105" spans="1:26" ht="15">
      <c r="A105" s="167">
        <f>'Budget with Assumptions'!A105</f>
        <v>0</v>
      </c>
      <c r="B105" s="25"/>
      <c r="C105" s="25"/>
      <c r="D105" s="101">
        <f>'Budget with Assumptions'!J105</f>
        <v>0</v>
      </c>
      <c r="E105" s="271"/>
      <c r="F105" s="101">
        <f>'Budget with Assumptions'!L105</f>
        <v>0</v>
      </c>
      <c r="G105" s="271"/>
      <c r="H105" s="101">
        <f>'Budget with Assumptions'!N105</f>
        <v>0</v>
      </c>
      <c r="I105" s="271"/>
      <c r="J105" s="101">
        <f>'Budget with Assumptions'!P105</f>
        <v>0</v>
      </c>
      <c r="K105" s="272"/>
      <c r="L105" s="101">
        <f>'Budget with Assumptions'!R105</f>
        <v>0</v>
      </c>
      <c r="M105" s="262"/>
      <c r="N105" s="101">
        <f>'Budget with Assumptions'!T105</f>
        <v>0</v>
      </c>
      <c r="O105"/>
      <c r="P105" s="286">
        <f t="shared" si="25"/>
        <v>0</v>
      </c>
      <c r="Q105" s="286">
        <f t="shared" si="26"/>
        <v>0</v>
      </c>
      <c r="R105" s="286">
        <f t="shared" si="27"/>
        <v>0</v>
      </c>
      <c r="S105" s="286">
        <f t="shared" si="28"/>
        <v>0</v>
      </c>
      <c r="T105" s="286">
        <f t="shared" si="29"/>
        <v>0</v>
      </c>
      <c r="U105"/>
      <c r="V105" s="295">
        <f t="shared" si="30"/>
        <v>0</v>
      </c>
      <c r="W105" s="295">
        <f t="shared" si="31"/>
        <v>0</v>
      </c>
      <c r="X105" s="295">
        <f t="shared" si="32"/>
        <v>0</v>
      </c>
      <c r="Y105" s="295">
        <f t="shared" si="33"/>
        <v>0</v>
      </c>
      <c r="Z105" s="295">
        <f t="shared" si="34"/>
        <v>0</v>
      </c>
    </row>
    <row r="106" spans="1:26" ht="15">
      <c r="A106" s="167">
        <f>'Budget with Assumptions'!A106</f>
        <v>0</v>
      </c>
      <c r="B106" s="25"/>
      <c r="C106" s="25"/>
      <c r="D106" s="101">
        <f>'Budget with Assumptions'!J106</f>
        <v>0</v>
      </c>
      <c r="E106" s="271"/>
      <c r="F106" s="101">
        <f>'Budget with Assumptions'!L106</f>
        <v>0</v>
      </c>
      <c r="G106" s="271"/>
      <c r="H106" s="101">
        <f>'Budget with Assumptions'!N106</f>
        <v>0</v>
      </c>
      <c r="I106" s="271"/>
      <c r="J106" s="101">
        <f>'Budget with Assumptions'!P106</f>
        <v>0</v>
      </c>
      <c r="K106" s="272"/>
      <c r="L106" s="101">
        <f>'Budget with Assumptions'!R106</f>
        <v>0</v>
      </c>
      <c r="M106" s="262"/>
      <c r="N106" s="101">
        <f>'Budget with Assumptions'!T106</f>
        <v>0</v>
      </c>
      <c r="O106"/>
      <c r="P106" s="286">
        <f t="shared" si="25"/>
        <v>0</v>
      </c>
      <c r="Q106" s="286">
        <f t="shared" si="26"/>
        <v>0</v>
      </c>
      <c r="R106" s="286">
        <f t="shared" si="27"/>
        <v>0</v>
      </c>
      <c r="S106" s="286">
        <f t="shared" si="28"/>
        <v>0</v>
      </c>
      <c r="T106" s="286">
        <f t="shared" si="29"/>
        <v>0</v>
      </c>
      <c r="U106"/>
      <c r="V106" s="295">
        <f t="shared" si="30"/>
        <v>0</v>
      </c>
      <c r="W106" s="295">
        <f t="shared" si="31"/>
        <v>0</v>
      </c>
      <c r="X106" s="295">
        <f t="shared" si="32"/>
        <v>0</v>
      </c>
      <c r="Y106" s="295">
        <f t="shared" si="33"/>
        <v>0</v>
      </c>
      <c r="Z106" s="295">
        <f t="shared" si="34"/>
        <v>0</v>
      </c>
    </row>
    <row r="107" spans="1:26" ht="15">
      <c r="A107" s="159">
        <f>'Budget with Assumptions'!A107</f>
        <v>0</v>
      </c>
      <c r="B107" s="25"/>
      <c r="C107" s="25"/>
      <c r="D107" s="101">
        <f>'Budget with Assumptions'!J107</f>
        <v>0</v>
      </c>
      <c r="E107" s="271"/>
      <c r="F107" s="101">
        <f>'Budget with Assumptions'!L107</f>
        <v>0</v>
      </c>
      <c r="G107" s="271"/>
      <c r="H107" s="101">
        <f>'Budget with Assumptions'!N107</f>
        <v>0</v>
      </c>
      <c r="I107" s="271"/>
      <c r="J107" s="101">
        <f>'Budget with Assumptions'!P107</f>
        <v>0</v>
      </c>
      <c r="K107" s="272"/>
      <c r="L107" s="101">
        <f>'Budget with Assumptions'!R107</f>
        <v>0</v>
      </c>
      <c r="M107" s="262"/>
      <c r="N107" s="101">
        <f>'Budget with Assumptions'!T107</f>
        <v>0</v>
      </c>
      <c r="O107"/>
      <c r="P107" s="286">
        <f t="shared" si="25"/>
        <v>0</v>
      </c>
      <c r="Q107" s="286">
        <f t="shared" si="26"/>
        <v>0</v>
      </c>
      <c r="R107" s="286">
        <f t="shared" si="27"/>
        <v>0</v>
      </c>
      <c r="S107" s="286">
        <f t="shared" si="28"/>
        <v>0</v>
      </c>
      <c r="T107" s="286">
        <f t="shared" si="29"/>
        <v>0</v>
      </c>
      <c r="U107"/>
      <c r="V107" s="295">
        <f t="shared" si="30"/>
        <v>0</v>
      </c>
      <c r="W107" s="295">
        <f t="shared" si="31"/>
        <v>0</v>
      </c>
      <c r="X107" s="295">
        <f t="shared" si="32"/>
        <v>0</v>
      </c>
      <c r="Y107" s="295">
        <f t="shared" si="33"/>
        <v>0</v>
      </c>
      <c r="Z107" s="295">
        <f t="shared" si="34"/>
        <v>0</v>
      </c>
    </row>
    <row r="108" spans="1:26" ht="15" thickBot="1">
      <c r="A108" s="22"/>
      <c r="B108" s="25"/>
      <c r="C108" s="25"/>
      <c r="D108" s="278"/>
      <c r="E108" s="271"/>
      <c r="F108" s="278"/>
      <c r="G108" s="271"/>
      <c r="H108" s="278"/>
      <c r="I108" s="271"/>
      <c r="J108" s="278"/>
      <c r="K108" s="272"/>
      <c r="L108" s="254"/>
      <c r="M108" s="262"/>
      <c r="N108" s="254"/>
      <c r="O108"/>
      <c r="P108" s="287"/>
      <c r="Q108" s="287"/>
      <c r="R108" s="287"/>
      <c r="S108" s="287"/>
      <c r="T108" s="287"/>
      <c r="U108"/>
      <c r="V108" s="195"/>
      <c r="W108" s="195"/>
      <c r="X108" s="195"/>
      <c r="Y108" s="195"/>
      <c r="Z108" s="195"/>
    </row>
    <row r="109" spans="1:26" ht="15.75" thickBot="1">
      <c r="A109" s="110" t="str">
        <f>'Budget with Assumptions'!H109</f>
        <v>Total Office Administration</v>
      </c>
      <c r="B109" s="23"/>
      <c r="C109" s="23"/>
      <c r="D109" s="132">
        <f>SUM(D88:D107)</f>
        <v>18390</v>
      </c>
      <c r="E109" s="98"/>
      <c r="F109" s="132">
        <f>SUM(F88:F107)</f>
        <v>78949.801</v>
      </c>
      <c r="G109" s="98"/>
      <c r="H109" s="132">
        <f>SUM(H88:H107)</f>
        <v>95484.7015</v>
      </c>
      <c r="I109" s="98"/>
      <c r="J109" s="132">
        <f>SUM(J88:J107)</f>
        <v>103019.602</v>
      </c>
      <c r="K109" s="99"/>
      <c r="L109" s="132">
        <f>SUM(L88:L107)</f>
        <v>102019.602</v>
      </c>
      <c r="M109" s="247"/>
      <c r="N109" s="132">
        <f>SUM(N88:N107)</f>
        <v>102019.602</v>
      </c>
      <c r="O109"/>
      <c r="P109" s="161">
        <f>SUM(P88:P107)</f>
        <v>0.07381565532832124</v>
      </c>
      <c r="Q109" s="161">
        <f>SUM(Q88:Q107)</f>
        <v>0.06463028861203671</v>
      </c>
      <c r="R109" s="161">
        <f>SUM(R88:R107)</f>
        <v>0.05108789684855966</v>
      </c>
      <c r="S109" s="161">
        <f>SUM(S88:S107)</f>
        <v>0.05020730170885622</v>
      </c>
      <c r="T109" s="161">
        <f>SUM(T88:T107)</f>
        <v>0.049675901573631935</v>
      </c>
      <c r="U109"/>
      <c r="V109" s="163">
        <f>SUM(V88:V107)</f>
        <v>877.220011111111</v>
      </c>
      <c r="W109" s="163">
        <f>SUM(W88:W107)</f>
        <v>707.2940851851852</v>
      </c>
      <c r="X109" s="163">
        <f>SUM(X88:X107)</f>
        <v>572.3311222222222</v>
      </c>
      <c r="Y109" s="163">
        <f>SUM(Y88:Y107)</f>
        <v>566.7755666666667</v>
      </c>
      <c r="Z109" s="163">
        <f>SUM(Z88:Z107)</f>
        <v>566.7755666666667</v>
      </c>
    </row>
    <row r="110" spans="1:26" ht="15" thickBot="1">
      <c r="A110" s="29"/>
      <c r="B110" s="21"/>
      <c r="C110" s="21"/>
      <c r="D110" s="195"/>
      <c r="E110" s="195"/>
      <c r="F110" s="195"/>
      <c r="G110" s="195"/>
      <c r="H110" s="195"/>
      <c r="I110" s="195"/>
      <c r="J110" s="195"/>
      <c r="K110" s="248"/>
      <c r="L110" s="195"/>
      <c r="M110" s="248"/>
      <c r="N110" s="195"/>
      <c r="P110" s="287"/>
      <c r="Q110" s="287"/>
      <c r="R110" s="287"/>
      <c r="S110" s="287"/>
      <c r="T110" s="287"/>
      <c r="V110" s="195"/>
      <c r="W110" s="195"/>
      <c r="X110" s="195"/>
      <c r="Y110" s="195"/>
      <c r="Z110" s="195"/>
    </row>
    <row r="111" spans="1:26" ht="18" thickBot="1">
      <c r="A111" s="160" t="s">
        <v>126</v>
      </c>
      <c r="B111" s="30"/>
      <c r="C111" s="30"/>
      <c r="D111" s="278"/>
      <c r="E111" s="271"/>
      <c r="F111" s="278"/>
      <c r="G111" s="271"/>
      <c r="H111" s="278"/>
      <c r="I111" s="271"/>
      <c r="J111" s="278"/>
      <c r="K111" s="272"/>
      <c r="L111" s="278"/>
      <c r="M111" s="262"/>
      <c r="N111" s="278"/>
      <c r="O111"/>
      <c r="P111" s="287"/>
      <c r="Q111" s="287"/>
      <c r="R111" s="287"/>
      <c r="S111" s="287"/>
      <c r="T111" s="287"/>
      <c r="U111"/>
      <c r="V111" s="195"/>
      <c r="W111" s="195"/>
      <c r="X111" s="195"/>
      <c r="Y111" s="195"/>
      <c r="Z111" s="195"/>
    </row>
    <row r="112" spans="1:26" ht="18.75" customHeight="1">
      <c r="A112" s="167" t="str">
        <f>'Budget with Assumptions'!A112</f>
        <v>Rent</v>
      </c>
      <c r="B112" s="21"/>
      <c r="C112" s="21"/>
      <c r="D112" s="101">
        <f>'Budget with Assumptions'!J112</f>
        <v>0</v>
      </c>
      <c r="E112" s="271"/>
      <c r="F112" s="101">
        <f>'Budget with Assumptions'!L112</f>
        <v>108200</v>
      </c>
      <c r="G112" s="271"/>
      <c r="H112" s="101">
        <f>'Budget with Assumptions'!N112</f>
        <v>108200</v>
      </c>
      <c r="I112" s="271"/>
      <c r="J112" s="101">
        <f>'Budget with Assumptions'!P112</f>
        <v>166408</v>
      </c>
      <c r="K112" s="272"/>
      <c r="L112" s="101">
        <f>'Budget with Assumptions'!R112</f>
        <v>166408</v>
      </c>
      <c r="M112" s="262"/>
      <c r="N112" s="101">
        <f>'Budget with Assumptions'!T112</f>
        <v>166408</v>
      </c>
      <c r="O112"/>
      <c r="P112" s="286">
        <f aca="true" t="shared" si="35" ref="P112:P129">F112/$F$152</f>
        <v>0.10116369902597169</v>
      </c>
      <c r="Q112" s="286">
        <f aca="true" t="shared" si="36" ref="Q112:Q129">H112/$H$152</f>
        <v>0.07323683394268528</v>
      </c>
      <c r="R112" s="286">
        <f aca="true" t="shared" si="37" ref="R112:R129">J112/$J$152</f>
        <v>0.08252249643495145</v>
      </c>
      <c r="S112" s="286">
        <f aca="true" t="shared" si="38" ref="S112:S129">L112/$L$152</f>
        <v>0.08189501330114331</v>
      </c>
      <c r="T112" s="286">
        <f aca="true" t="shared" si="39" ref="T112:T129">N112/$N$152</f>
        <v>0.08102822660555903</v>
      </c>
      <c r="U112"/>
      <c r="V112" s="295">
        <f>F112/$F$171</f>
        <v>1202.2222222222222</v>
      </c>
      <c r="W112" s="295">
        <f>H112/$H$171</f>
        <v>801.4814814814815</v>
      </c>
      <c r="X112" s="295">
        <f>J112/$J$171</f>
        <v>924.4888888888889</v>
      </c>
      <c r="Y112" s="295">
        <f>L112/$L$171</f>
        <v>924.4888888888889</v>
      </c>
      <c r="Z112" s="295">
        <f>N112/$N$171</f>
        <v>924.4888888888889</v>
      </c>
    </row>
    <row r="113" spans="1:26" ht="15">
      <c r="A113" s="167" t="str">
        <f>'Budget with Assumptions'!A113</f>
        <v>Utilities</v>
      </c>
      <c r="B113" s="23"/>
      <c r="C113" s="23"/>
      <c r="D113" s="101">
        <f>'Budget with Assumptions'!J113</f>
        <v>0</v>
      </c>
      <c r="E113" s="271"/>
      <c r="F113" s="101">
        <f>'Budget with Assumptions'!L113</f>
        <v>40575</v>
      </c>
      <c r="G113" s="271"/>
      <c r="H113" s="101">
        <f>'Budget with Assumptions'!N113</f>
        <v>40575</v>
      </c>
      <c r="I113" s="271"/>
      <c r="J113" s="101">
        <f>'Budget with Assumptions'!P113</f>
        <v>62403</v>
      </c>
      <c r="K113" s="272"/>
      <c r="L113" s="101">
        <f>'Budget with Assumptions'!R113</f>
        <v>62403</v>
      </c>
      <c r="M113" s="262"/>
      <c r="N113" s="101">
        <f>'Budget with Assumptions'!T113</f>
        <v>62403</v>
      </c>
      <c r="O113"/>
      <c r="P113" s="286">
        <f t="shared" si="35"/>
        <v>0.03793638713473938</v>
      </c>
      <c r="Q113" s="286">
        <f t="shared" si="36"/>
        <v>0.027463812728506978</v>
      </c>
      <c r="R113" s="286">
        <f t="shared" si="37"/>
        <v>0.030945936163106792</v>
      </c>
      <c r="S113" s="286">
        <f t="shared" si="38"/>
        <v>0.03071062998792874</v>
      </c>
      <c r="T113" s="286">
        <f t="shared" si="39"/>
        <v>0.030385584977084636</v>
      </c>
      <c r="U113"/>
      <c r="V113" s="295">
        <f aca="true" t="shared" si="40" ref="V113:V129">F113/$F$171</f>
        <v>450.8333333333333</v>
      </c>
      <c r="W113" s="295">
        <f aca="true" t="shared" si="41" ref="W113:W129">H113/$H$171</f>
        <v>300.55555555555554</v>
      </c>
      <c r="X113" s="295">
        <f aca="true" t="shared" si="42" ref="X113:X129">J113/$J$171</f>
        <v>346.68333333333334</v>
      </c>
      <c r="Y113" s="295">
        <f aca="true" t="shared" si="43" ref="Y113:Y129">L113/$L$171</f>
        <v>346.68333333333334</v>
      </c>
      <c r="Z113" s="295">
        <f aca="true" t="shared" si="44" ref="Z113:Z129">N113/$N$171</f>
        <v>346.68333333333334</v>
      </c>
    </row>
    <row r="114" spans="1:26" ht="15">
      <c r="A114" s="167" t="str">
        <f>'Budget with Assumptions'!A114</f>
        <v>Repairs &amp; Maintenance</v>
      </c>
      <c r="B114" s="23"/>
      <c r="C114" s="23"/>
      <c r="D114" s="101">
        <f>'Budget with Assumptions'!J114</f>
        <v>0</v>
      </c>
      <c r="E114" s="271"/>
      <c r="F114" s="101">
        <f>'Budget with Assumptions'!L114</f>
        <v>33812.5</v>
      </c>
      <c r="G114" s="271"/>
      <c r="H114" s="101">
        <f>'Budget with Assumptions'!N114</f>
        <v>33812.5</v>
      </c>
      <c r="I114" s="271"/>
      <c r="J114" s="101">
        <f>'Budget with Assumptions'!P114</f>
        <v>52002.5</v>
      </c>
      <c r="K114" s="272"/>
      <c r="L114" s="101">
        <f>'Budget with Assumptions'!R114</f>
        <v>52002.5</v>
      </c>
      <c r="M114" s="262"/>
      <c r="N114" s="101">
        <f>'Budget with Assumptions'!T114</f>
        <v>52002.5</v>
      </c>
      <c r="O114"/>
      <c r="P114" s="286">
        <f t="shared" si="35"/>
        <v>0.03161365594561615</v>
      </c>
      <c r="Q114" s="286">
        <f t="shared" si="36"/>
        <v>0.02288651060708915</v>
      </c>
      <c r="R114" s="286">
        <f t="shared" si="37"/>
        <v>0.025788280135922326</v>
      </c>
      <c r="S114" s="286">
        <f t="shared" si="38"/>
        <v>0.025592191656607283</v>
      </c>
      <c r="T114" s="286">
        <f t="shared" si="39"/>
        <v>0.025321320814237196</v>
      </c>
      <c r="U114"/>
      <c r="V114" s="295">
        <f t="shared" si="40"/>
        <v>375.69444444444446</v>
      </c>
      <c r="W114" s="295">
        <f t="shared" si="41"/>
        <v>250.46296296296296</v>
      </c>
      <c r="X114" s="295">
        <f t="shared" si="42"/>
        <v>288.90277777777777</v>
      </c>
      <c r="Y114" s="295">
        <f t="shared" si="43"/>
        <v>288.90277777777777</v>
      </c>
      <c r="Z114" s="295">
        <f t="shared" si="44"/>
        <v>288.90277777777777</v>
      </c>
    </row>
    <row r="115" spans="1:26" ht="15">
      <c r="A115" s="167" t="str">
        <f>'Budget with Assumptions'!A115</f>
        <v>Supplies</v>
      </c>
      <c r="B115" s="23"/>
      <c r="C115" s="23"/>
      <c r="D115" s="101">
        <f>'Budget with Assumptions'!J115</f>
        <v>0</v>
      </c>
      <c r="E115" s="271"/>
      <c r="F115" s="101">
        <f>'Budget with Assumptions'!L115</f>
        <v>0</v>
      </c>
      <c r="G115" s="271"/>
      <c r="H115" s="101">
        <f>'Budget with Assumptions'!N115</f>
        <v>0</v>
      </c>
      <c r="I115" s="271"/>
      <c r="J115" s="101">
        <f>'Budget with Assumptions'!P115</f>
        <v>0</v>
      </c>
      <c r="K115" s="272"/>
      <c r="L115" s="101">
        <f>'Budget with Assumptions'!R115</f>
        <v>0</v>
      </c>
      <c r="M115" s="262"/>
      <c r="N115" s="101">
        <f>'Budget with Assumptions'!T115</f>
        <v>0</v>
      </c>
      <c r="O115"/>
      <c r="P115" s="286">
        <f t="shared" si="35"/>
        <v>0</v>
      </c>
      <c r="Q115" s="286">
        <f t="shared" si="36"/>
        <v>0</v>
      </c>
      <c r="R115" s="286">
        <f t="shared" si="37"/>
        <v>0</v>
      </c>
      <c r="S115" s="286">
        <f t="shared" si="38"/>
        <v>0</v>
      </c>
      <c r="T115" s="286">
        <f t="shared" si="39"/>
        <v>0</v>
      </c>
      <c r="U115"/>
      <c r="V115" s="295">
        <f t="shared" si="40"/>
        <v>0</v>
      </c>
      <c r="W115" s="295">
        <f t="shared" si="41"/>
        <v>0</v>
      </c>
      <c r="X115" s="295">
        <f t="shared" si="42"/>
        <v>0</v>
      </c>
      <c r="Y115" s="295">
        <f t="shared" si="43"/>
        <v>0</v>
      </c>
      <c r="Z115" s="295">
        <f t="shared" si="44"/>
        <v>0</v>
      </c>
    </row>
    <row r="116" spans="1:26" ht="15">
      <c r="A116" s="167" t="str">
        <f>'Budget with Assumptions'!A116</f>
        <v>Contracted Services-Security</v>
      </c>
      <c r="B116" s="23"/>
      <c r="C116" s="23"/>
      <c r="D116" s="101">
        <f>'Budget with Assumptions'!J116</f>
        <v>3500</v>
      </c>
      <c r="E116" s="271"/>
      <c r="F116" s="101">
        <f>'Budget with Assumptions'!L116</f>
        <v>600</v>
      </c>
      <c r="G116" s="271"/>
      <c r="H116" s="101">
        <f>'Budget with Assumptions'!N116</f>
        <v>600</v>
      </c>
      <c r="I116" s="271"/>
      <c r="J116" s="101">
        <f>'Budget with Assumptions'!P116</f>
        <v>600</v>
      </c>
      <c r="K116" s="272"/>
      <c r="L116" s="101">
        <f>'Budget with Assumptions'!R116</f>
        <v>600</v>
      </c>
      <c r="M116" s="262"/>
      <c r="N116" s="101">
        <f>'Budget with Assumptions'!T116</f>
        <v>600</v>
      </c>
      <c r="O116"/>
      <c r="P116" s="286">
        <f t="shared" si="35"/>
        <v>0.0005609816951532626</v>
      </c>
      <c r="Q116" s="286">
        <f t="shared" si="36"/>
        <v>0.0004061192270389202</v>
      </c>
      <c r="R116" s="286">
        <f t="shared" si="37"/>
        <v>0.00029754277355037537</v>
      </c>
      <c r="S116" s="286">
        <f t="shared" si="38"/>
        <v>0.00029528032294532703</v>
      </c>
      <c r="T116" s="286">
        <f t="shared" si="39"/>
        <v>0.0002921550404027175</v>
      </c>
      <c r="U116"/>
      <c r="V116" s="295">
        <f t="shared" si="40"/>
        <v>6.666666666666667</v>
      </c>
      <c r="W116" s="295">
        <f t="shared" si="41"/>
        <v>4.444444444444445</v>
      </c>
      <c r="X116" s="295">
        <f t="shared" si="42"/>
        <v>3.3333333333333335</v>
      </c>
      <c r="Y116" s="295">
        <f t="shared" si="43"/>
        <v>3.3333333333333335</v>
      </c>
      <c r="Z116" s="295">
        <f t="shared" si="44"/>
        <v>3.3333333333333335</v>
      </c>
    </row>
    <row r="117" spans="1:26" ht="15">
      <c r="A117" s="167" t="str">
        <f>'Budget with Assumptions'!A117</f>
        <v>Contracted Services-Custodial</v>
      </c>
      <c r="B117" s="23"/>
      <c r="C117" s="23"/>
      <c r="D117" s="101">
        <f>'Budget with Assumptions'!J117</f>
        <v>0</v>
      </c>
      <c r="E117" s="271"/>
      <c r="F117" s="101">
        <f>'Budget with Assumptions'!L117</f>
        <v>21637.5</v>
      </c>
      <c r="G117" s="271"/>
      <c r="H117" s="101">
        <f>'Budget with Assumptions'!N117</f>
        <v>22312.5</v>
      </c>
      <c r="I117" s="271"/>
      <c r="J117" s="101">
        <f>'Budget with Assumptions'!P117</f>
        <v>33901.5</v>
      </c>
      <c r="K117" s="272"/>
      <c r="L117" s="101">
        <f>'Budget with Assumptions'!R117</f>
        <v>33901.5</v>
      </c>
      <c r="M117" s="262"/>
      <c r="N117" s="101">
        <f>'Budget with Assumptions'!T117</f>
        <v>33901.5</v>
      </c>
      <c r="O117"/>
      <c r="P117" s="286">
        <f t="shared" si="35"/>
        <v>0.02023040238146453</v>
      </c>
      <c r="Q117" s="286">
        <f t="shared" si="36"/>
        <v>0.015102558755509844</v>
      </c>
      <c r="R117" s="286">
        <f t="shared" si="37"/>
        <v>0.016811910562530084</v>
      </c>
      <c r="S117" s="286">
        <f t="shared" si="38"/>
        <v>0.01668407644721834</v>
      </c>
      <c r="T117" s="286">
        <f t="shared" si="39"/>
        <v>0.016507490170354546</v>
      </c>
      <c r="U117"/>
      <c r="V117" s="295">
        <f t="shared" si="40"/>
        <v>240.41666666666666</v>
      </c>
      <c r="W117" s="295">
        <f t="shared" si="41"/>
        <v>165.27777777777777</v>
      </c>
      <c r="X117" s="295">
        <f t="shared" si="42"/>
        <v>188.34166666666667</v>
      </c>
      <c r="Y117" s="295">
        <f t="shared" si="43"/>
        <v>188.34166666666667</v>
      </c>
      <c r="Z117" s="295">
        <f t="shared" si="44"/>
        <v>188.34166666666667</v>
      </c>
    </row>
    <row r="118" spans="1:26" ht="15">
      <c r="A118" s="167" t="str">
        <f>'Budget with Assumptions'!A118</f>
        <v>Contracted Services-(Trash Removal, Snow Removal, Grounds, etc.)</v>
      </c>
      <c r="B118" s="23"/>
      <c r="C118" s="23"/>
      <c r="D118" s="101">
        <f>'Budget with Assumptions'!J118</f>
        <v>0</v>
      </c>
      <c r="E118" s="271"/>
      <c r="F118" s="101">
        <f>'Budget with Assumptions'!L118</f>
        <v>0</v>
      </c>
      <c r="G118" s="271"/>
      <c r="H118" s="101">
        <f>'Budget with Assumptions'!N118</f>
        <v>0</v>
      </c>
      <c r="I118" s="271"/>
      <c r="J118" s="101">
        <f>'Budget with Assumptions'!P118</f>
        <v>0</v>
      </c>
      <c r="K118" s="272"/>
      <c r="L118" s="101">
        <f>'Budget with Assumptions'!R118</f>
        <v>0</v>
      </c>
      <c r="M118" s="262"/>
      <c r="N118" s="101">
        <f>'Budget with Assumptions'!T118</f>
        <v>0</v>
      </c>
      <c r="O118"/>
      <c r="P118" s="286">
        <f t="shared" si="35"/>
        <v>0</v>
      </c>
      <c r="Q118" s="286">
        <f t="shared" si="36"/>
        <v>0</v>
      </c>
      <c r="R118" s="286">
        <f t="shared" si="37"/>
        <v>0</v>
      </c>
      <c r="S118" s="286">
        <f t="shared" si="38"/>
        <v>0</v>
      </c>
      <c r="T118" s="286">
        <f t="shared" si="39"/>
        <v>0</v>
      </c>
      <c r="U118"/>
      <c r="V118" s="295">
        <f t="shared" si="40"/>
        <v>0</v>
      </c>
      <c r="W118" s="295">
        <f t="shared" si="41"/>
        <v>0</v>
      </c>
      <c r="X118" s="295">
        <f t="shared" si="42"/>
        <v>0</v>
      </c>
      <c r="Y118" s="295">
        <f t="shared" si="43"/>
        <v>0</v>
      </c>
      <c r="Z118" s="295">
        <f t="shared" si="44"/>
        <v>0</v>
      </c>
    </row>
    <row r="119" spans="1:26" ht="15">
      <c r="A119" s="167" t="str">
        <f>'Budget with Assumptions'!A119</f>
        <v>Contracted Services-Other</v>
      </c>
      <c r="B119" s="23"/>
      <c r="C119" s="23"/>
      <c r="D119" s="101">
        <f>'Budget with Assumptions'!J119</f>
        <v>0</v>
      </c>
      <c r="E119" s="271"/>
      <c r="F119" s="101">
        <f>'Budget with Assumptions'!L119</f>
        <v>0</v>
      </c>
      <c r="G119" s="271"/>
      <c r="H119" s="101">
        <f>'Budget with Assumptions'!N119</f>
        <v>0</v>
      </c>
      <c r="I119" s="271"/>
      <c r="J119" s="101">
        <f>'Budget with Assumptions'!P119</f>
        <v>0</v>
      </c>
      <c r="K119" s="272"/>
      <c r="L119" s="101">
        <f>'Budget with Assumptions'!R119</f>
        <v>0</v>
      </c>
      <c r="M119" s="262"/>
      <c r="N119" s="101">
        <f>'Budget with Assumptions'!T119</f>
        <v>0</v>
      </c>
      <c r="O119"/>
      <c r="P119" s="286">
        <f t="shared" si="35"/>
        <v>0</v>
      </c>
      <c r="Q119" s="286">
        <f t="shared" si="36"/>
        <v>0</v>
      </c>
      <c r="R119" s="286">
        <f t="shared" si="37"/>
        <v>0</v>
      </c>
      <c r="S119" s="286">
        <f t="shared" si="38"/>
        <v>0</v>
      </c>
      <c r="T119" s="286">
        <f t="shared" si="39"/>
        <v>0</v>
      </c>
      <c r="U119"/>
      <c r="V119" s="295">
        <f t="shared" si="40"/>
        <v>0</v>
      </c>
      <c r="W119" s="295">
        <f t="shared" si="41"/>
        <v>0</v>
      </c>
      <c r="X119" s="295">
        <f t="shared" si="42"/>
        <v>0</v>
      </c>
      <c r="Y119" s="295">
        <f t="shared" si="43"/>
        <v>0</v>
      </c>
      <c r="Z119" s="295">
        <f t="shared" si="44"/>
        <v>0</v>
      </c>
    </row>
    <row r="120" spans="1:26" ht="15">
      <c r="A120" s="167" t="str">
        <f>'Budget with Assumptions'!A120</f>
        <v>Property Insurance</v>
      </c>
      <c r="B120" s="25"/>
      <c r="C120" s="25"/>
      <c r="D120" s="101">
        <f>'Budget with Assumptions'!J120</f>
        <v>0</v>
      </c>
      <c r="E120" s="271"/>
      <c r="F120" s="101">
        <f>'Budget with Assumptions'!L120</f>
        <v>1000</v>
      </c>
      <c r="G120" s="271"/>
      <c r="H120" s="101">
        <f>'Budget with Assumptions'!N120</f>
        <v>1000</v>
      </c>
      <c r="I120" s="271"/>
      <c r="J120" s="101">
        <f>'Budget with Assumptions'!P120</f>
        <v>1000</v>
      </c>
      <c r="K120" s="272"/>
      <c r="L120" s="101">
        <f>'Budget with Assumptions'!R120</f>
        <v>1000</v>
      </c>
      <c r="M120" s="262"/>
      <c r="N120" s="101">
        <f>'Budget with Assumptions'!T120</f>
        <v>1000</v>
      </c>
      <c r="O120"/>
      <c r="P120" s="286">
        <f t="shared" si="35"/>
        <v>0.0009349694919221043</v>
      </c>
      <c r="Q120" s="286">
        <f t="shared" si="36"/>
        <v>0.0006768653783982004</v>
      </c>
      <c r="R120" s="286">
        <f t="shared" si="37"/>
        <v>0.000495904622583959</v>
      </c>
      <c r="S120" s="286">
        <f t="shared" si="38"/>
        <v>0.0004921338715755451</v>
      </c>
      <c r="T120" s="286">
        <f t="shared" si="39"/>
        <v>0.00048692506733786253</v>
      </c>
      <c r="U120"/>
      <c r="V120" s="295">
        <f t="shared" si="40"/>
        <v>11.11111111111111</v>
      </c>
      <c r="W120" s="295">
        <f t="shared" si="41"/>
        <v>7.407407407407407</v>
      </c>
      <c r="X120" s="295">
        <f t="shared" si="42"/>
        <v>5.555555555555555</v>
      </c>
      <c r="Y120" s="295">
        <f t="shared" si="43"/>
        <v>5.555555555555555</v>
      </c>
      <c r="Z120" s="295">
        <f t="shared" si="44"/>
        <v>5.555555555555555</v>
      </c>
    </row>
    <row r="121" spans="1:26" ht="15">
      <c r="A121" s="167" t="str">
        <f>'Budget with Assumptions'!A121</f>
        <v>Facility Loan Debt Service (P &amp; I)</v>
      </c>
      <c r="B121" s="25"/>
      <c r="C121" s="25"/>
      <c r="D121" s="101">
        <f>'Budget with Assumptions'!J121</f>
        <v>0</v>
      </c>
      <c r="E121" s="271"/>
      <c r="F121" s="101">
        <f>'Budget with Assumptions'!L121</f>
        <v>0</v>
      </c>
      <c r="G121" s="271"/>
      <c r="H121" s="101">
        <f>'Budget with Assumptions'!N121</f>
        <v>0</v>
      </c>
      <c r="I121" s="271"/>
      <c r="J121" s="101">
        <f>'Budget with Assumptions'!P121</f>
        <v>0</v>
      </c>
      <c r="K121" s="272"/>
      <c r="L121" s="101">
        <f>'Budget with Assumptions'!R121</f>
        <v>0</v>
      </c>
      <c r="M121" s="262"/>
      <c r="N121" s="101">
        <f>'Budget with Assumptions'!T121</f>
        <v>0</v>
      </c>
      <c r="O121"/>
      <c r="P121" s="286">
        <f t="shared" si="35"/>
        <v>0</v>
      </c>
      <c r="Q121" s="286">
        <f t="shared" si="36"/>
        <v>0</v>
      </c>
      <c r="R121" s="286">
        <f t="shared" si="37"/>
        <v>0</v>
      </c>
      <c r="S121" s="286">
        <f t="shared" si="38"/>
        <v>0</v>
      </c>
      <c r="T121" s="286">
        <f t="shared" si="39"/>
        <v>0</v>
      </c>
      <c r="U121"/>
      <c r="V121" s="295">
        <f t="shared" si="40"/>
        <v>0</v>
      </c>
      <c r="W121" s="295">
        <f t="shared" si="41"/>
        <v>0</v>
      </c>
      <c r="X121" s="295">
        <f t="shared" si="42"/>
        <v>0</v>
      </c>
      <c r="Y121" s="295">
        <f t="shared" si="43"/>
        <v>0</v>
      </c>
      <c r="Z121" s="295">
        <f t="shared" si="44"/>
        <v>0</v>
      </c>
    </row>
    <row r="122" spans="1:26" ht="15">
      <c r="A122" s="167">
        <f>'Budget with Assumptions'!A122</f>
        <v>0</v>
      </c>
      <c r="B122" s="25"/>
      <c r="C122" s="25"/>
      <c r="D122" s="101">
        <f>'Budget with Assumptions'!J122</f>
        <v>0</v>
      </c>
      <c r="E122" s="271"/>
      <c r="F122" s="101">
        <f>'Budget with Assumptions'!L122</f>
        <v>0</v>
      </c>
      <c r="G122" s="271"/>
      <c r="H122" s="101">
        <f>'Budget with Assumptions'!N122</f>
        <v>0</v>
      </c>
      <c r="I122" s="271"/>
      <c r="J122" s="101">
        <f>'Budget with Assumptions'!P122</f>
        <v>0</v>
      </c>
      <c r="K122" s="272"/>
      <c r="L122" s="101">
        <f>'Budget with Assumptions'!R122</f>
        <v>0</v>
      </c>
      <c r="M122" s="262"/>
      <c r="N122" s="101">
        <f>'Budget with Assumptions'!T122</f>
        <v>0</v>
      </c>
      <c r="O122"/>
      <c r="P122" s="286">
        <f t="shared" si="35"/>
        <v>0</v>
      </c>
      <c r="Q122" s="286">
        <f t="shared" si="36"/>
        <v>0</v>
      </c>
      <c r="R122" s="286">
        <f t="shared" si="37"/>
        <v>0</v>
      </c>
      <c r="S122" s="286">
        <f t="shared" si="38"/>
        <v>0</v>
      </c>
      <c r="T122" s="286">
        <f t="shared" si="39"/>
        <v>0</v>
      </c>
      <c r="U122"/>
      <c r="V122" s="295">
        <f t="shared" si="40"/>
        <v>0</v>
      </c>
      <c r="W122" s="295">
        <f t="shared" si="41"/>
        <v>0</v>
      </c>
      <c r="X122" s="295">
        <f t="shared" si="42"/>
        <v>0</v>
      </c>
      <c r="Y122" s="295">
        <f t="shared" si="43"/>
        <v>0</v>
      </c>
      <c r="Z122" s="295">
        <f t="shared" si="44"/>
        <v>0</v>
      </c>
    </row>
    <row r="123" spans="1:26" ht="15">
      <c r="A123" s="167">
        <f>'Budget with Assumptions'!A123</f>
        <v>0</v>
      </c>
      <c r="B123" s="25"/>
      <c r="C123" s="25"/>
      <c r="D123" s="101">
        <f>'Budget with Assumptions'!J123</f>
        <v>0</v>
      </c>
      <c r="E123" s="271"/>
      <c r="F123" s="101">
        <f>'Budget with Assumptions'!L123</f>
        <v>0</v>
      </c>
      <c r="G123" s="271"/>
      <c r="H123" s="101">
        <f>'Budget with Assumptions'!N123</f>
        <v>0</v>
      </c>
      <c r="I123" s="271"/>
      <c r="J123" s="101">
        <f>'Budget with Assumptions'!P123</f>
        <v>0</v>
      </c>
      <c r="K123" s="272"/>
      <c r="L123" s="101">
        <f>'Budget with Assumptions'!R123</f>
        <v>0</v>
      </c>
      <c r="M123" s="262"/>
      <c r="N123" s="101">
        <f>'Budget with Assumptions'!T123</f>
        <v>0</v>
      </c>
      <c r="O123"/>
      <c r="P123" s="286">
        <f t="shared" si="35"/>
        <v>0</v>
      </c>
      <c r="Q123" s="286">
        <f t="shared" si="36"/>
        <v>0</v>
      </c>
      <c r="R123" s="286">
        <f t="shared" si="37"/>
        <v>0</v>
      </c>
      <c r="S123" s="286">
        <f t="shared" si="38"/>
        <v>0</v>
      </c>
      <c r="T123" s="286">
        <f t="shared" si="39"/>
        <v>0</v>
      </c>
      <c r="U123"/>
      <c r="V123" s="295">
        <f t="shared" si="40"/>
        <v>0</v>
      </c>
      <c r="W123" s="295">
        <f t="shared" si="41"/>
        <v>0</v>
      </c>
      <c r="X123" s="295">
        <f t="shared" si="42"/>
        <v>0</v>
      </c>
      <c r="Y123" s="295">
        <f t="shared" si="43"/>
        <v>0</v>
      </c>
      <c r="Z123" s="295">
        <f t="shared" si="44"/>
        <v>0</v>
      </c>
    </row>
    <row r="124" spans="1:26" ht="15">
      <c r="A124" s="167">
        <f>'Budget with Assumptions'!A124</f>
        <v>0</v>
      </c>
      <c r="B124" s="25"/>
      <c r="C124" s="25"/>
      <c r="D124" s="101">
        <f>'Budget with Assumptions'!J124</f>
        <v>0</v>
      </c>
      <c r="E124" s="271"/>
      <c r="F124" s="101">
        <f>'Budget with Assumptions'!L124</f>
        <v>0</v>
      </c>
      <c r="G124" s="271"/>
      <c r="H124" s="101">
        <f>'Budget with Assumptions'!N124</f>
        <v>0</v>
      </c>
      <c r="I124" s="271"/>
      <c r="J124" s="101">
        <f>'Budget with Assumptions'!P124</f>
        <v>0</v>
      </c>
      <c r="K124" s="272"/>
      <c r="L124" s="101">
        <f>'Budget with Assumptions'!R124</f>
        <v>0</v>
      </c>
      <c r="M124" s="262"/>
      <c r="N124" s="101">
        <f>'Budget with Assumptions'!T124</f>
        <v>0</v>
      </c>
      <c r="O124"/>
      <c r="P124" s="286">
        <f t="shared" si="35"/>
        <v>0</v>
      </c>
      <c r="Q124" s="286">
        <f t="shared" si="36"/>
        <v>0</v>
      </c>
      <c r="R124" s="286">
        <f t="shared" si="37"/>
        <v>0</v>
      </c>
      <c r="S124" s="286">
        <f t="shared" si="38"/>
        <v>0</v>
      </c>
      <c r="T124" s="286">
        <f t="shared" si="39"/>
        <v>0</v>
      </c>
      <c r="U124"/>
      <c r="V124" s="295">
        <f t="shared" si="40"/>
        <v>0</v>
      </c>
      <c r="W124" s="295">
        <f t="shared" si="41"/>
        <v>0</v>
      </c>
      <c r="X124" s="295">
        <f t="shared" si="42"/>
        <v>0</v>
      </c>
      <c r="Y124" s="295">
        <f t="shared" si="43"/>
        <v>0</v>
      </c>
      <c r="Z124" s="295">
        <f t="shared" si="44"/>
        <v>0</v>
      </c>
    </row>
    <row r="125" spans="1:26" ht="15">
      <c r="A125" s="167">
        <f>'Budget with Assumptions'!A125</f>
        <v>0</v>
      </c>
      <c r="B125" s="25"/>
      <c r="C125" s="25"/>
      <c r="D125" s="101">
        <f>'Budget with Assumptions'!J125</f>
        <v>0</v>
      </c>
      <c r="E125" s="271"/>
      <c r="F125" s="101">
        <f>'Budget with Assumptions'!L125</f>
        <v>0</v>
      </c>
      <c r="G125" s="271"/>
      <c r="H125" s="101">
        <f>'Budget with Assumptions'!N125</f>
        <v>0</v>
      </c>
      <c r="I125" s="271"/>
      <c r="J125" s="101">
        <f>'Budget with Assumptions'!P125</f>
        <v>0</v>
      </c>
      <c r="K125" s="272"/>
      <c r="L125" s="101">
        <f>'Budget with Assumptions'!R125</f>
        <v>0</v>
      </c>
      <c r="M125" s="262"/>
      <c r="N125" s="101">
        <f>'Budget with Assumptions'!T125</f>
        <v>0</v>
      </c>
      <c r="O125"/>
      <c r="P125" s="286">
        <f t="shared" si="35"/>
        <v>0</v>
      </c>
      <c r="Q125" s="286">
        <f t="shared" si="36"/>
        <v>0</v>
      </c>
      <c r="R125" s="286">
        <f t="shared" si="37"/>
        <v>0</v>
      </c>
      <c r="S125" s="286">
        <f t="shared" si="38"/>
        <v>0</v>
      </c>
      <c r="T125" s="286">
        <f t="shared" si="39"/>
        <v>0</v>
      </c>
      <c r="U125"/>
      <c r="V125" s="295">
        <f t="shared" si="40"/>
        <v>0</v>
      </c>
      <c r="W125" s="295">
        <f t="shared" si="41"/>
        <v>0</v>
      </c>
      <c r="X125" s="295">
        <f t="shared" si="42"/>
        <v>0</v>
      </c>
      <c r="Y125" s="295">
        <f t="shared" si="43"/>
        <v>0</v>
      </c>
      <c r="Z125" s="295">
        <f t="shared" si="44"/>
        <v>0</v>
      </c>
    </row>
    <row r="126" spans="1:26" ht="15">
      <c r="A126" s="167">
        <f>'Budget with Assumptions'!A126</f>
        <v>0</v>
      </c>
      <c r="B126" s="25"/>
      <c r="C126" s="25"/>
      <c r="D126" s="101">
        <f>'Budget with Assumptions'!J126</f>
        <v>0</v>
      </c>
      <c r="E126" s="271"/>
      <c r="F126" s="101">
        <f>'Budget with Assumptions'!L126</f>
        <v>0</v>
      </c>
      <c r="G126" s="271"/>
      <c r="H126" s="101">
        <f>'Budget with Assumptions'!N126</f>
        <v>0</v>
      </c>
      <c r="I126" s="271"/>
      <c r="J126" s="101">
        <f>'Budget with Assumptions'!P126</f>
        <v>0</v>
      </c>
      <c r="K126" s="272"/>
      <c r="L126" s="101">
        <f>'Budget with Assumptions'!R126</f>
        <v>0</v>
      </c>
      <c r="M126" s="262"/>
      <c r="N126" s="101">
        <f>'Budget with Assumptions'!T126</f>
        <v>0</v>
      </c>
      <c r="O126"/>
      <c r="P126" s="286">
        <f t="shared" si="35"/>
        <v>0</v>
      </c>
      <c r="Q126" s="286">
        <f t="shared" si="36"/>
        <v>0</v>
      </c>
      <c r="R126" s="286">
        <f t="shared" si="37"/>
        <v>0</v>
      </c>
      <c r="S126" s="286">
        <f t="shared" si="38"/>
        <v>0</v>
      </c>
      <c r="T126" s="286">
        <f t="shared" si="39"/>
        <v>0</v>
      </c>
      <c r="U126"/>
      <c r="V126" s="295">
        <f t="shared" si="40"/>
        <v>0</v>
      </c>
      <c r="W126" s="295">
        <f t="shared" si="41"/>
        <v>0</v>
      </c>
      <c r="X126" s="295">
        <f t="shared" si="42"/>
        <v>0</v>
      </c>
      <c r="Y126" s="295">
        <f t="shared" si="43"/>
        <v>0</v>
      </c>
      <c r="Z126" s="295">
        <f t="shared" si="44"/>
        <v>0</v>
      </c>
    </row>
    <row r="127" spans="1:26" ht="15">
      <c r="A127" s="167">
        <f>'Budget with Assumptions'!A127</f>
        <v>0</v>
      </c>
      <c r="B127" s="25"/>
      <c r="C127" s="25"/>
      <c r="D127" s="101">
        <f>'Budget with Assumptions'!J127</f>
        <v>0</v>
      </c>
      <c r="E127" s="271"/>
      <c r="F127" s="101">
        <f>'Budget with Assumptions'!L127</f>
        <v>0</v>
      </c>
      <c r="G127" s="271"/>
      <c r="H127" s="101">
        <f>'Budget with Assumptions'!N127</f>
        <v>0</v>
      </c>
      <c r="I127" s="271"/>
      <c r="J127" s="101">
        <f>'Budget with Assumptions'!P127</f>
        <v>0</v>
      </c>
      <c r="K127" s="272"/>
      <c r="L127" s="101">
        <f>'Budget with Assumptions'!R127</f>
        <v>0</v>
      </c>
      <c r="M127" s="262"/>
      <c r="N127" s="101">
        <f>'Budget with Assumptions'!T127</f>
        <v>0</v>
      </c>
      <c r="O127"/>
      <c r="P127" s="286">
        <f t="shared" si="35"/>
        <v>0</v>
      </c>
      <c r="Q127" s="286">
        <f t="shared" si="36"/>
        <v>0</v>
      </c>
      <c r="R127" s="286">
        <f t="shared" si="37"/>
        <v>0</v>
      </c>
      <c r="S127" s="286">
        <f t="shared" si="38"/>
        <v>0</v>
      </c>
      <c r="T127" s="286">
        <f t="shared" si="39"/>
        <v>0</v>
      </c>
      <c r="U127"/>
      <c r="V127" s="295">
        <f t="shared" si="40"/>
        <v>0</v>
      </c>
      <c r="W127" s="295">
        <f t="shared" si="41"/>
        <v>0</v>
      </c>
      <c r="X127" s="295">
        <f t="shared" si="42"/>
        <v>0</v>
      </c>
      <c r="Y127" s="295">
        <f t="shared" si="43"/>
        <v>0</v>
      </c>
      <c r="Z127" s="295">
        <f t="shared" si="44"/>
        <v>0</v>
      </c>
    </row>
    <row r="128" spans="1:26" ht="15">
      <c r="A128" s="167">
        <f>'Budget with Assumptions'!A128</f>
        <v>0</v>
      </c>
      <c r="B128" s="25"/>
      <c r="C128" s="25"/>
      <c r="D128" s="101">
        <f>'Budget with Assumptions'!J128</f>
        <v>0</v>
      </c>
      <c r="E128" s="271"/>
      <c r="F128" s="101">
        <f>'Budget with Assumptions'!L128</f>
        <v>0</v>
      </c>
      <c r="G128" s="271"/>
      <c r="H128" s="101">
        <f>'Budget with Assumptions'!N128</f>
        <v>0</v>
      </c>
      <c r="I128" s="271"/>
      <c r="J128" s="101">
        <f>'Budget with Assumptions'!P128</f>
        <v>0</v>
      </c>
      <c r="K128" s="272"/>
      <c r="L128" s="101">
        <f>'Budget with Assumptions'!R128</f>
        <v>0</v>
      </c>
      <c r="M128" s="262"/>
      <c r="N128" s="101">
        <f>'Budget with Assumptions'!T128</f>
        <v>0</v>
      </c>
      <c r="O128"/>
      <c r="P128" s="286">
        <f t="shared" si="35"/>
        <v>0</v>
      </c>
      <c r="Q128" s="286">
        <f t="shared" si="36"/>
        <v>0</v>
      </c>
      <c r="R128" s="286">
        <f t="shared" si="37"/>
        <v>0</v>
      </c>
      <c r="S128" s="286">
        <f t="shared" si="38"/>
        <v>0</v>
      </c>
      <c r="T128" s="286">
        <f t="shared" si="39"/>
        <v>0</v>
      </c>
      <c r="U128"/>
      <c r="V128" s="295">
        <f t="shared" si="40"/>
        <v>0</v>
      </c>
      <c r="W128" s="295">
        <f t="shared" si="41"/>
        <v>0</v>
      </c>
      <c r="X128" s="295">
        <f t="shared" si="42"/>
        <v>0</v>
      </c>
      <c r="Y128" s="295">
        <f t="shared" si="43"/>
        <v>0</v>
      </c>
      <c r="Z128" s="295">
        <f t="shared" si="44"/>
        <v>0</v>
      </c>
    </row>
    <row r="129" spans="1:26" ht="15">
      <c r="A129" s="167">
        <f>'Budget with Assumptions'!A129</f>
        <v>0</v>
      </c>
      <c r="B129" s="25"/>
      <c r="C129" s="25"/>
      <c r="D129" s="101">
        <f>'Budget with Assumptions'!J129</f>
        <v>0</v>
      </c>
      <c r="E129" s="271"/>
      <c r="F129" s="101">
        <f>'Budget with Assumptions'!L129</f>
        <v>0</v>
      </c>
      <c r="G129" s="271"/>
      <c r="H129" s="101">
        <f>'Budget with Assumptions'!N129</f>
        <v>0</v>
      </c>
      <c r="I129" s="271"/>
      <c r="J129" s="101">
        <f>'Budget with Assumptions'!P129</f>
        <v>0</v>
      </c>
      <c r="K129" s="272"/>
      <c r="L129" s="101">
        <f>'Budget with Assumptions'!R129</f>
        <v>0</v>
      </c>
      <c r="M129" s="262"/>
      <c r="N129" s="101">
        <f>'Budget with Assumptions'!T129</f>
        <v>0</v>
      </c>
      <c r="O129"/>
      <c r="P129" s="286">
        <f t="shared" si="35"/>
        <v>0</v>
      </c>
      <c r="Q129" s="286">
        <f t="shared" si="36"/>
        <v>0</v>
      </c>
      <c r="R129" s="286">
        <f t="shared" si="37"/>
        <v>0</v>
      </c>
      <c r="S129" s="286">
        <f t="shared" si="38"/>
        <v>0</v>
      </c>
      <c r="T129" s="286">
        <f t="shared" si="39"/>
        <v>0</v>
      </c>
      <c r="U129"/>
      <c r="V129" s="295">
        <f t="shared" si="40"/>
        <v>0</v>
      </c>
      <c r="W129" s="295">
        <f t="shared" si="41"/>
        <v>0</v>
      </c>
      <c r="X129" s="295">
        <f t="shared" si="42"/>
        <v>0</v>
      </c>
      <c r="Y129" s="295">
        <f t="shared" si="43"/>
        <v>0</v>
      </c>
      <c r="Z129" s="295">
        <f t="shared" si="44"/>
        <v>0</v>
      </c>
    </row>
    <row r="130" spans="1:26" ht="15" thickBot="1">
      <c r="A130" s="24"/>
      <c r="B130" s="25"/>
      <c r="C130" s="25"/>
      <c r="D130" s="278"/>
      <c r="E130" s="271"/>
      <c r="F130" s="278"/>
      <c r="G130" s="271"/>
      <c r="H130" s="278"/>
      <c r="I130" s="271"/>
      <c r="J130" s="278"/>
      <c r="K130" s="272"/>
      <c r="L130" s="254"/>
      <c r="M130" s="262"/>
      <c r="N130" s="254"/>
      <c r="O130"/>
      <c r="P130" s="287"/>
      <c r="Q130" s="287"/>
      <c r="R130" s="287"/>
      <c r="S130" s="287"/>
      <c r="T130" s="287"/>
      <c r="U130"/>
      <c r="V130" s="195"/>
      <c r="W130" s="195"/>
      <c r="X130" s="195"/>
      <c r="Y130" s="195"/>
      <c r="Z130" s="195"/>
    </row>
    <row r="131" spans="1:26" ht="15.75" thickBot="1">
      <c r="A131" s="110" t="str">
        <f>'Budget with Assumptions'!H131</f>
        <v>Total Occupancy</v>
      </c>
      <c r="B131" s="25"/>
      <c r="C131" s="25"/>
      <c r="D131" s="132">
        <f>SUM(D112:D129)</f>
        <v>3500</v>
      </c>
      <c r="E131" s="98"/>
      <c r="F131" s="132">
        <f>SUM(F112:F129)</f>
        <v>205825</v>
      </c>
      <c r="G131" s="98"/>
      <c r="H131" s="132">
        <f>SUM(H112:H129)</f>
        <v>206500</v>
      </c>
      <c r="I131" s="98"/>
      <c r="J131" s="132">
        <f>SUM(J112:J129)</f>
        <v>316315</v>
      </c>
      <c r="K131" s="99"/>
      <c r="L131" s="132">
        <f>SUM(L112:L129)</f>
        <v>316315</v>
      </c>
      <c r="M131" s="247"/>
      <c r="N131" s="132">
        <f>SUM(N112:N129)</f>
        <v>316315</v>
      </c>
      <c r="O131"/>
      <c r="P131" s="161">
        <f>SUM(P112:P129)</f>
        <v>0.1924400956748671</v>
      </c>
      <c r="Q131" s="161">
        <f>SUM(Q112:Q129)</f>
        <v>0.13977270063922836</v>
      </c>
      <c r="R131" s="161">
        <f>SUM(R112:R129)</f>
        <v>0.156862070692645</v>
      </c>
      <c r="S131" s="161">
        <f>SUM(S112:S129)</f>
        <v>0.15566932558741853</v>
      </c>
      <c r="T131" s="161">
        <f>SUM(T112:T129)</f>
        <v>0.15402170267497597</v>
      </c>
      <c r="U131"/>
      <c r="V131" s="163">
        <f>SUM(V112:V129)</f>
        <v>2286.944444444445</v>
      </c>
      <c r="W131" s="163">
        <f>SUM(W112:W129)</f>
        <v>1529.6296296296296</v>
      </c>
      <c r="X131" s="163">
        <f>SUM(X112:X129)</f>
        <v>1757.3055555555557</v>
      </c>
      <c r="Y131" s="163">
        <f>SUM(Y112:Y129)</f>
        <v>1757.3055555555557</v>
      </c>
      <c r="Z131" s="163">
        <f>SUM(Z112:Z129)</f>
        <v>1757.3055555555557</v>
      </c>
    </row>
    <row r="132" spans="1:26" ht="15" thickBot="1">
      <c r="A132" s="32"/>
      <c r="B132" s="21"/>
      <c r="C132" s="21"/>
      <c r="D132" s="278"/>
      <c r="E132" s="279"/>
      <c r="F132" s="278"/>
      <c r="G132" s="279"/>
      <c r="H132" s="278"/>
      <c r="I132" s="279"/>
      <c r="J132" s="278"/>
      <c r="K132" s="280"/>
      <c r="L132" s="254"/>
      <c r="M132" s="256"/>
      <c r="N132" s="254"/>
      <c r="O132"/>
      <c r="P132" s="287"/>
      <c r="Q132" s="287"/>
      <c r="R132" s="287"/>
      <c r="S132" s="287"/>
      <c r="T132" s="287"/>
      <c r="U132"/>
      <c r="V132" s="195"/>
      <c r="W132" s="195"/>
      <c r="X132" s="195"/>
      <c r="Y132" s="195"/>
      <c r="Z132" s="195"/>
    </row>
    <row r="133" spans="1:26" ht="15" thickBot="1">
      <c r="A133" s="78" t="str">
        <f>'Budget with Assumptions'!H133</f>
        <v>Education Management Organization Fee</v>
      </c>
      <c r="B133" s="33"/>
      <c r="C133" s="33"/>
      <c r="D133" s="101">
        <f>'Budget with Assumptions'!J133</f>
        <v>0</v>
      </c>
      <c r="E133" s="98"/>
      <c r="F133" s="101">
        <f>'Budget with Assumptions'!L133</f>
        <v>0</v>
      </c>
      <c r="G133" s="271"/>
      <c r="H133" s="101">
        <f>'Budget with Assumptions'!N133</f>
        <v>0</v>
      </c>
      <c r="I133" s="271"/>
      <c r="J133" s="101">
        <f>'Budget with Assumptions'!P133</f>
        <v>0</v>
      </c>
      <c r="K133" s="272"/>
      <c r="L133" s="101">
        <f>'Budget with Assumptions'!R133</f>
        <v>0</v>
      </c>
      <c r="M133" s="262"/>
      <c r="N133" s="101">
        <f>'Budget with Assumptions'!T133</f>
        <v>0</v>
      </c>
      <c r="O133"/>
      <c r="P133" s="288">
        <f>F133/$F$152</f>
        <v>0</v>
      </c>
      <c r="Q133" s="288">
        <f>H133/$H$152</f>
        <v>0</v>
      </c>
      <c r="R133" s="288">
        <f>J133/$J$152</f>
        <v>0</v>
      </c>
      <c r="S133" s="288">
        <f>L133/$L$152</f>
        <v>0</v>
      </c>
      <c r="T133" s="288">
        <f>N133/$N$152</f>
        <v>0</v>
      </c>
      <c r="U133"/>
      <c r="V133" s="293">
        <f>F133/$F$171</f>
        <v>0</v>
      </c>
      <c r="W133" s="293">
        <f>H133/$H$171</f>
        <v>0</v>
      </c>
      <c r="X133" s="293">
        <f>J133/$J$171</f>
        <v>0</v>
      </c>
      <c r="Y133" s="293">
        <f>L133/$L$171</f>
        <v>0</v>
      </c>
      <c r="Z133" s="293">
        <f>N133/$N$171</f>
        <v>0</v>
      </c>
    </row>
    <row r="134" spans="1:26" ht="18.75" customHeight="1" thickBot="1">
      <c r="A134" s="32"/>
      <c r="B134" s="21"/>
      <c r="C134" s="21"/>
      <c r="D134" s="195"/>
      <c r="E134" s="195"/>
      <c r="F134" s="195"/>
      <c r="G134" s="195"/>
      <c r="H134" s="195"/>
      <c r="I134" s="195"/>
      <c r="J134" s="195"/>
      <c r="K134" s="248"/>
      <c r="L134" s="195"/>
      <c r="M134" s="248"/>
      <c r="N134" s="195"/>
      <c r="P134" s="287"/>
      <c r="Q134" s="287"/>
      <c r="R134" s="287"/>
      <c r="S134" s="287"/>
      <c r="T134" s="287"/>
      <c r="V134" s="195"/>
      <c r="W134" s="195"/>
      <c r="X134" s="195"/>
      <c r="Y134" s="195"/>
      <c r="Z134" s="195"/>
    </row>
    <row r="135" spans="1:26" ht="18" thickBot="1">
      <c r="A135" s="160" t="s">
        <v>127</v>
      </c>
      <c r="B135" s="33"/>
      <c r="C135" s="33"/>
      <c r="D135" s="278"/>
      <c r="E135" s="279"/>
      <c r="F135" s="278"/>
      <c r="G135" s="279"/>
      <c r="H135" s="278"/>
      <c r="I135" s="279"/>
      <c r="J135" s="278"/>
      <c r="K135" s="280"/>
      <c r="L135" s="254"/>
      <c r="M135" s="256"/>
      <c r="N135" s="254"/>
      <c r="O135"/>
      <c r="P135" s="287"/>
      <c r="Q135" s="287"/>
      <c r="R135" s="287"/>
      <c r="S135" s="287"/>
      <c r="T135" s="287"/>
      <c r="U135"/>
      <c r="V135" s="195"/>
      <c r="W135" s="195"/>
      <c r="X135" s="195"/>
      <c r="Y135" s="195"/>
      <c r="Z135" s="195"/>
    </row>
    <row r="136" spans="1:26" ht="18.75" customHeight="1">
      <c r="A136" s="167" t="str">
        <f>'Budget with Assumptions'!A136</f>
        <v>Non-Facility Loan Payments (Principal &amp; Interest)</v>
      </c>
      <c r="B136" s="30"/>
      <c r="C136" s="30"/>
      <c r="D136" s="101">
        <f>'Budget with Assumptions'!J136</f>
        <v>0</v>
      </c>
      <c r="E136" s="271"/>
      <c r="F136" s="101">
        <f>'Budget with Assumptions'!L136</f>
        <v>0</v>
      </c>
      <c r="G136" s="271"/>
      <c r="H136" s="101">
        <f>'Budget with Assumptions'!N136</f>
        <v>0</v>
      </c>
      <c r="I136" s="271"/>
      <c r="J136" s="101">
        <f>'Budget with Assumptions'!P136</f>
        <v>0</v>
      </c>
      <c r="K136" s="272"/>
      <c r="L136" s="101">
        <f>'Budget with Assumptions'!R136</f>
        <v>0</v>
      </c>
      <c r="M136" s="262"/>
      <c r="N136" s="101">
        <f>'Budget with Assumptions'!T136</f>
        <v>0</v>
      </c>
      <c r="O136"/>
      <c r="P136" s="286">
        <f>F136/$F$152</f>
        <v>0</v>
      </c>
      <c r="Q136" s="286">
        <f>H136/$H$152</f>
        <v>0</v>
      </c>
      <c r="R136" s="286">
        <f>J136/$J$152</f>
        <v>0</v>
      </c>
      <c r="S136" s="286">
        <f>L136/$L$152</f>
        <v>0</v>
      </c>
      <c r="T136" s="286">
        <f>N136/$N$152</f>
        <v>0</v>
      </c>
      <c r="U136"/>
      <c r="V136" s="295">
        <f>F136/$F$171</f>
        <v>0</v>
      </c>
      <c r="W136" s="295">
        <f>H136/$H$171</f>
        <v>0</v>
      </c>
      <c r="X136" s="295">
        <f>J136/$J$171</f>
        <v>0</v>
      </c>
      <c r="Y136" s="295">
        <f>L136/$L$171</f>
        <v>0</v>
      </c>
      <c r="Z136" s="295">
        <f>N136/$N$171</f>
        <v>0</v>
      </c>
    </row>
    <row r="137" spans="1:26" ht="15">
      <c r="A137" s="167" t="str">
        <f>'Budget with Assumptions'!A137</f>
        <v>Fundraising Expense</v>
      </c>
      <c r="B137" s="23"/>
      <c r="C137" s="23"/>
      <c r="D137" s="101">
        <f>'Budget with Assumptions'!J137</f>
        <v>0</v>
      </c>
      <c r="E137" s="271"/>
      <c r="F137" s="101">
        <f>'Budget with Assumptions'!L137</f>
        <v>0</v>
      </c>
      <c r="G137" s="271"/>
      <c r="H137" s="101">
        <f>'Budget with Assumptions'!N137</f>
        <v>0</v>
      </c>
      <c r="I137" s="271"/>
      <c r="J137" s="101">
        <f>'Budget with Assumptions'!P137</f>
        <v>0</v>
      </c>
      <c r="K137" s="272"/>
      <c r="L137" s="101">
        <f>'Budget with Assumptions'!R137</f>
        <v>0</v>
      </c>
      <c r="M137" s="262"/>
      <c r="N137" s="101">
        <f>'Budget with Assumptions'!T137</f>
        <v>0</v>
      </c>
      <c r="O137"/>
      <c r="P137" s="286">
        <f aca="true" t="shared" si="45" ref="P137:P148">F137/$F$152</f>
        <v>0</v>
      </c>
      <c r="Q137" s="286">
        <f aca="true" t="shared" si="46" ref="Q137:Q148">H137/$H$152</f>
        <v>0</v>
      </c>
      <c r="R137" s="286">
        <f aca="true" t="shared" si="47" ref="R137:R148">J137/$J$152</f>
        <v>0</v>
      </c>
      <c r="S137" s="286">
        <f aca="true" t="shared" si="48" ref="S137:S148">L137/$L$152</f>
        <v>0</v>
      </c>
      <c r="T137" s="286">
        <f aca="true" t="shared" si="49" ref="T137:T148">N137/$N$152</f>
        <v>0</v>
      </c>
      <c r="U137"/>
      <c r="V137" s="295">
        <f aca="true" t="shared" si="50" ref="V137:V148">F137/$F$171</f>
        <v>0</v>
      </c>
      <c r="W137" s="295">
        <f aca="true" t="shared" si="51" ref="W137:W148">H137/$H$171</f>
        <v>0</v>
      </c>
      <c r="X137" s="295">
        <f aca="true" t="shared" si="52" ref="X137:X148">J137/$J$171</f>
        <v>0</v>
      </c>
      <c r="Y137" s="295">
        <f aca="true" t="shared" si="53" ref="Y137:Y148">L137/$L$171</f>
        <v>0</v>
      </c>
      <c r="Z137" s="295">
        <f aca="true" t="shared" si="54" ref="Z137:Z148">N137/$N$171</f>
        <v>0</v>
      </c>
    </row>
    <row r="138" spans="1:26" ht="15">
      <c r="A138" s="167" t="str">
        <f>'Budget with Assumptions'!A138</f>
        <v>Contingency</v>
      </c>
      <c r="B138" s="23"/>
      <c r="C138" s="23"/>
      <c r="D138" s="101">
        <f>'Budget with Assumptions'!J138</f>
        <v>0</v>
      </c>
      <c r="E138" s="271"/>
      <c r="F138" s="101">
        <f>'Budget with Assumptions'!L138</f>
        <v>22804.464</v>
      </c>
      <c r="G138" s="271"/>
      <c r="H138" s="101">
        <f>'Budget with Assumptions'!N138</f>
        <v>31014.426000000003</v>
      </c>
      <c r="I138" s="271"/>
      <c r="J138" s="101">
        <f>'Budget with Assumptions'!P138</f>
        <v>42025.248</v>
      </c>
      <c r="K138" s="272"/>
      <c r="L138" s="101">
        <f>'Budget with Assumptions'!R138</f>
        <v>42025.248</v>
      </c>
      <c r="M138" s="262"/>
      <c r="N138" s="101">
        <f>'Budget with Assumptions'!T138</f>
        <v>42025.248</v>
      </c>
      <c r="P138" s="286">
        <f t="shared" si="45"/>
        <v>0.02132147811963592</v>
      </c>
      <c r="Q138" s="286">
        <f t="shared" si="46"/>
        <v>0.020992591190292984</v>
      </c>
      <c r="R138" s="286">
        <f t="shared" si="47"/>
        <v>0.020840514748437275</v>
      </c>
      <c r="S138" s="286">
        <f t="shared" si="48"/>
        <v>0.02068204800216243</v>
      </c>
      <c r="T138" s="286">
        <f t="shared" si="49"/>
        <v>0.02046314671229037</v>
      </c>
      <c r="U138"/>
      <c r="V138" s="295">
        <f t="shared" si="50"/>
        <v>253.38293333333334</v>
      </c>
      <c r="W138" s="295">
        <f t="shared" si="51"/>
        <v>229.7364888888889</v>
      </c>
      <c r="X138" s="295">
        <f t="shared" si="52"/>
        <v>233.4736</v>
      </c>
      <c r="Y138" s="295">
        <f t="shared" si="53"/>
        <v>233.4736</v>
      </c>
      <c r="Z138" s="295">
        <f t="shared" si="54"/>
        <v>233.4736</v>
      </c>
    </row>
    <row r="139" spans="1:26" ht="15">
      <c r="A139" s="167" t="str">
        <f>'Budget with Assumptions'!A139</f>
        <v>Liability Insurance</v>
      </c>
      <c r="B139" s="23"/>
      <c r="C139" s="23"/>
      <c r="D139" s="101">
        <f>'Budget with Assumptions'!J139</f>
        <v>0</v>
      </c>
      <c r="E139" s="271"/>
      <c r="F139" s="101">
        <f>'Budget with Assumptions'!L139</f>
        <v>0</v>
      </c>
      <c r="G139" s="271"/>
      <c r="H139" s="101">
        <f>'Budget with Assumptions'!N139</f>
        <v>0</v>
      </c>
      <c r="I139" s="271"/>
      <c r="J139" s="101">
        <f>'Budget with Assumptions'!P139</f>
        <v>0</v>
      </c>
      <c r="K139" s="272"/>
      <c r="L139" s="101">
        <f>'Budget with Assumptions'!R139</f>
        <v>0</v>
      </c>
      <c r="M139" s="262"/>
      <c r="N139" s="101">
        <f>'Budget with Assumptions'!T139</f>
        <v>0</v>
      </c>
      <c r="P139" s="286">
        <f t="shared" si="45"/>
        <v>0</v>
      </c>
      <c r="Q139" s="286">
        <f t="shared" si="46"/>
        <v>0</v>
      </c>
      <c r="R139" s="286">
        <f t="shared" si="47"/>
        <v>0</v>
      </c>
      <c r="S139" s="286">
        <f t="shared" si="48"/>
        <v>0</v>
      </c>
      <c r="T139" s="286">
        <f t="shared" si="49"/>
        <v>0</v>
      </c>
      <c r="U139"/>
      <c r="V139" s="295">
        <f t="shared" si="50"/>
        <v>0</v>
      </c>
      <c r="W139" s="295">
        <f t="shared" si="51"/>
        <v>0</v>
      </c>
      <c r="X139" s="295">
        <f t="shared" si="52"/>
        <v>0</v>
      </c>
      <c r="Y139" s="295">
        <f t="shared" si="53"/>
        <v>0</v>
      </c>
      <c r="Z139" s="295">
        <f t="shared" si="54"/>
        <v>0</v>
      </c>
    </row>
    <row r="140" spans="1:26" ht="15.75" customHeight="1" hidden="1">
      <c r="A140" s="167" t="str">
        <f>'Budget with Assumptions'!A140</f>
        <v>Replacement Reserve</v>
      </c>
      <c r="B140" s="23"/>
      <c r="C140" s="23"/>
      <c r="D140" s="101">
        <f>'Budget with Assumptions'!J140</f>
        <v>0</v>
      </c>
      <c r="E140" s="271"/>
      <c r="F140" s="101">
        <f>'Budget with Assumptions'!L140</f>
        <v>0</v>
      </c>
      <c r="G140" s="271"/>
      <c r="H140" s="101">
        <f>'Budget with Assumptions'!N140</f>
        <v>0</v>
      </c>
      <c r="I140" s="271"/>
      <c r="J140" s="101">
        <f>'Budget with Assumptions'!P140</f>
        <v>0</v>
      </c>
      <c r="K140" s="272"/>
      <c r="L140" s="101">
        <f>'Budget with Assumptions'!R140</f>
        <v>0</v>
      </c>
      <c r="M140" s="262"/>
      <c r="N140" s="101">
        <f>'Budget with Assumptions'!T140</f>
        <v>0</v>
      </c>
      <c r="P140" s="286">
        <f t="shared" si="45"/>
        <v>0</v>
      </c>
      <c r="Q140" s="286">
        <f t="shared" si="46"/>
        <v>0</v>
      </c>
      <c r="R140" s="286">
        <f t="shared" si="47"/>
        <v>0</v>
      </c>
      <c r="S140" s="286">
        <f t="shared" si="48"/>
        <v>0</v>
      </c>
      <c r="T140" s="286">
        <f t="shared" si="49"/>
        <v>0</v>
      </c>
      <c r="U140"/>
      <c r="V140" s="295">
        <f t="shared" si="50"/>
        <v>0</v>
      </c>
      <c r="W140" s="295">
        <f t="shared" si="51"/>
        <v>0</v>
      </c>
      <c r="X140" s="295">
        <f t="shared" si="52"/>
        <v>0</v>
      </c>
      <c r="Y140" s="295">
        <f t="shared" si="53"/>
        <v>0</v>
      </c>
      <c r="Z140" s="295">
        <f t="shared" si="54"/>
        <v>0</v>
      </c>
    </row>
    <row r="141" spans="1:26" ht="15">
      <c r="A141" s="167" t="str">
        <f>'Budget with Assumptions'!A141</f>
        <v>Directors and Officers' Insurance</v>
      </c>
      <c r="B141" s="23"/>
      <c r="C141" s="23"/>
      <c r="D141" s="101">
        <f>'Budget with Assumptions'!J141</f>
        <v>0</v>
      </c>
      <c r="E141" s="271"/>
      <c r="F141" s="101">
        <f>'Budget with Assumptions'!L141</f>
        <v>0</v>
      </c>
      <c r="G141" s="271"/>
      <c r="H141" s="101">
        <f>'Budget with Assumptions'!N141</f>
        <v>0</v>
      </c>
      <c r="I141" s="271"/>
      <c r="J141" s="101">
        <f>'Budget with Assumptions'!P141</f>
        <v>0</v>
      </c>
      <c r="K141" s="272"/>
      <c r="L141" s="101">
        <f>'Budget with Assumptions'!R141</f>
        <v>0</v>
      </c>
      <c r="M141" s="262"/>
      <c r="N141" s="101">
        <f>'Budget with Assumptions'!T141</f>
        <v>0</v>
      </c>
      <c r="P141" s="286">
        <f t="shared" si="45"/>
        <v>0</v>
      </c>
      <c r="Q141" s="286">
        <f t="shared" si="46"/>
        <v>0</v>
      </c>
      <c r="R141" s="286">
        <f t="shared" si="47"/>
        <v>0</v>
      </c>
      <c r="S141" s="286">
        <f t="shared" si="48"/>
        <v>0</v>
      </c>
      <c r="T141" s="286">
        <f t="shared" si="49"/>
        <v>0</v>
      </c>
      <c r="U141"/>
      <c r="V141" s="295">
        <f t="shared" si="50"/>
        <v>0</v>
      </c>
      <c r="W141" s="295">
        <f t="shared" si="51"/>
        <v>0</v>
      </c>
      <c r="X141" s="295">
        <f t="shared" si="52"/>
        <v>0</v>
      </c>
      <c r="Y141" s="295">
        <f t="shared" si="53"/>
        <v>0</v>
      </c>
      <c r="Z141" s="295">
        <f t="shared" si="54"/>
        <v>0</v>
      </c>
    </row>
    <row r="142" spans="1:26" ht="15">
      <c r="A142" s="167" t="str">
        <f>'Budget with Assumptions'!A142</f>
        <v>Automobile Insurance</v>
      </c>
      <c r="B142" s="23"/>
      <c r="C142" s="23"/>
      <c r="D142" s="101">
        <f>'Budget with Assumptions'!J142</f>
        <v>0</v>
      </c>
      <c r="E142" s="271"/>
      <c r="F142" s="101">
        <f>'Budget with Assumptions'!L142</f>
        <v>0</v>
      </c>
      <c r="G142" s="271"/>
      <c r="H142" s="101">
        <f>'Budget with Assumptions'!N142</f>
        <v>0</v>
      </c>
      <c r="I142" s="271"/>
      <c r="J142" s="101">
        <f>'Budget with Assumptions'!P142</f>
        <v>0</v>
      </c>
      <c r="K142" s="272"/>
      <c r="L142" s="101">
        <f>'Budget with Assumptions'!R142</f>
        <v>0</v>
      </c>
      <c r="M142" s="262"/>
      <c r="N142" s="101">
        <f>'Budget with Assumptions'!T142</f>
        <v>0</v>
      </c>
      <c r="P142" s="286">
        <f t="shared" si="45"/>
        <v>0</v>
      </c>
      <c r="Q142" s="286">
        <f t="shared" si="46"/>
        <v>0</v>
      </c>
      <c r="R142" s="286">
        <f t="shared" si="47"/>
        <v>0</v>
      </c>
      <c r="S142" s="286">
        <f t="shared" si="48"/>
        <v>0</v>
      </c>
      <c r="T142" s="286">
        <f t="shared" si="49"/>
        <v>0</v>
      </c>
      <c r="U142"/>
      <c r="V142" s="295">
        <f t="shared" si="50"/>
        <v>0</v>
      </c>
      <c r="W142" s="295">
        <f t="shared" si="51"/>
        <v>0</v>
      </c>
      <c r="X142" s="295">
        <f t="shared" si="52"/>
        <v>0</v>
      </c>
      <c r="Y142" s="295">
        <f t="shared" si="53"/>
        <v>0</v>
      </c>
      <c r="Z142" s="295">
        <f t="shared" si="54"/>
        <v>0</v>
      </c>
    </row>
    <row r="143" spans="1:26" ht="15">
      <c r="A143" s="167" t="str">
        <f>'Budget with Assumptions'!A143</f>
        <v>Indemnity Insurance</v>
      </c>
      <c r="B143" s="23"/>
      <c r="C143" s="23"/>
      <c r="D143" s="101">
        <f>'Budget with Assumptions'!J143</f>
        <v>0</v>
      </c>
      <c r="E143" s="271"/>
      <c r="F143" s="101">
        <f>'Budget with Assumptions'!L143</f>
        <v>0</v>
      </c>
      <c r="G143" s="271"/>
      <c r="H143" s="101">
        <f>'Budget with Assumptions'!N143</f>
        <v>0</v>
      </c>
      <c r="I143" s="271"/>
      <c r="J143" s="101">
        <f>'Budget with Assumptions'!P143</f>
        <v>0</v>
      </c>
      <c r="K143" s="272"/>
      <c r="L143" s="101">
        <f>'Budget with Assumptions'!R143</f>
        <v>0</v>
      </c>
      <c r="M143" s="262"/>
      <c r="N143" s="101">
        <f>'Budget with Assumptions'!T143</f>
        <v>0</v>
      </c>
      <c r="P143" s="286">
        <f t="shared" si="45"/>
        <v>0</v>
      </c>
      <c r="Q143" s="286">
        <f t="shared" si="46"/>
        <v>0</v>
      </c>
      <c r="R143" s="286">
        <f t="shared" si="47"/>
        <v>0</v>
      </c>
      <c r="S143" s="286">
        <f t="shared" si="48"/>
        <v>0</v>
      </c>
      <c r="T143" s="286">
        <f t="shared" si="49"/>
        <v>0</v>
      </c>
      <c r="U143"/>
      <c r="V143" s="295">
        <f t="shared" si="50"/>
        <v>0</v>
      </c>
      <c r="W143" s="295">
        <f t="shared" si="51"/>
        <v>0</v>
      </c>
      <c r="X143" s="295">
        <f t="shared" si="52"/>
        <v>0</v>
      </c>
      <c r="Y143" s="295">
        <f t="shared" si="53"/>
        <v>0</v>
      </c>
      <c r="Z143" s="295">
        <f t="shared" si="54"/>
        <v>0</v>
      </c>
    </row>
    <row r="144" spans="1:26" ht="15">
      <c r="A144" s="167" t="str">
        <f>'Budget with Assumptions'!A144</f>
        <v>Other Insurance</v>
      </c>
      <c r="B144" s="23"/>
      <c r="C144" s="23"/>
      <c r="D144" s="101">
        <f>'Budget with Assumptions'!J144</f>
        <v>0</v>
      </c>
      <c r="E144" s="271"/>
      <c r="F144" s="101">
        <f>'Budget with Assumptions'!L144</f>
        <v>0</v>
      </c>
      <c r="G144" s="271"/>
      <c r="H144" s="101">
        <f>'Budget with Assumptions'!N144</f>
        <v>0</v>
      </c>
      <c r="I144" s="271"/>
      <c r="J144" s="101">
        <f>'Budget with Assumptions'!P144</f>
        <v>0</v>
      </c>
      <c r="K144" s="272"/>
      <c r="L144" s="101">
        <f>'Budget with Assumptions'!R144</f>
        <v>0</v>
      </c>
      <c r="M144" s="262"/>
      <c r="N144" s="101">
        <f>'Budget with Assumptions'!T144</f>
        <v>0</v>
      </c>
      <c r="P144" s="286">
        <f t="shared" si="45"/>
        <v>0</v>
      </c>
      <c r="Q144" s="286">
        <f t="shared" si="46"/>
        <v>0</v>
      </c>
      <c r="R144" s="286">
        <f t="shared" si="47"/>
        <v>0</v>
      </c>
      <c r="S144" s="286">
        <f t="shared" si="48"/>
        <v>0</v>
      </c>
      <c r="T144" s="286">
        <f t="shared" si="49"/>
        <v>0</v>
      </c>
      <c r="U144"/>
      <c r="V144" s="295">
        <f t="shared" si="50"/>
        <v>0</v>
      </c>
      <c r="W144" s="295">
        <f t="shared" si="51"/>
        <v>0</v>
      </c>
      <c r="X144" s="295">
        <f t="shared" si="52"/>
        <v>0</v>
      </c>
      <c r="Y144" s="295">
        <f t="shared" si="53"/>
        <v>0</v>
      </c>
      <c r="Z144" s="295">
        <f t="shared" si="54"/>
        <v>0</v>
      </c>
    </row>
    <row r="145" spans="1:26" ht="15">
      <c r="A145" s="167" t="str">
        <f>'Budget with Assumptions'!A145</f>
        <v>General Liability/Abuse/Crime/Auto/Employee Benefits/Educators E&amp;O Insurance</v>
      </c>
      <c r="B145" s="23"/>
      <c r="C145" s="23"/>
      <c r="D145" s="101">
        <f>'Budget with Assumptions'!J145</f>
        <v>850</v>
      </c>
      <c r="E145" s="271"/>
      <c r="F145" s="101">
        <f>'Budget with Assumptions'!L145</f>
        <v>3500</v>
      </c>
      <c r="G145" s="271"/>
      <c r="H145" s="101">
        <f>'Budget with Assumptions'!N145</f>
        <v>3500</v>
      </c>
      <c r="I145" s="271"/>
      <c r="J145" s="101">
        <f>'Budget with Assumptions'!P145</f>
        <v>7000</v>
      </c>
      <c r="K145" s="272"/>
      <c r="L145" s="101">
        <f>'Budget with Assumptions'!R145</f>
        <v>7000</v>
      </c>
      <c r="M145" s="262"/>
      <c r="N145" s="101">
        <f>'Budget with Assumptions'!T145</f>
        <v>7000</v>
      </c>
      <c r="P145" s="286">
        <f t="shared" si="45"/>
        <v>0.0032723932217273654</v>
      </c>
      <c r="Q145" s="286">
        <f t="shared" si="46"/>
        <v>0.0023690288243937013</v>
      </c>
      <c r="R145" s="286">
        <f t="shared" si="47"/>
        <v>0.003471332358087713</v>
      </c>
      <c r="S145" s="286">
        <f t="shared" si="48"/>
        <v>0.0034449371010288154</v>
      </c>
      <c r="T145" s="286">
        <f t="shared" si="49"/>
        <v>0.0034084754713650375</v>
      </c>
      <c r="U145"/>
      <c r="V145" s="295">
        <f>F145/$F$171</f>
        <v>38.888888888888886</v>
      </c>
      <c r="W145" s="295">
        <f>H145/$H$171</f>
        <v>25.925925925925927</v>
      </c>
      <c r="X145" s="295">
        <f>J145/$J$171</f>
        <v>38.888888888888886</v>
      </c>
      <c r="Y145" s="295">
        <f>L145/$L$171</f>
        <v>38.888888888888886</v>
      </c>
      <c r="Z145" s="295">
        <f>N145/$N$171</f>
        <v>38.888888888888886</v>
      </c>
    </row>
    <row r="146" spans="1:26" ht="15">
      <c r="A146" s="167" t="str">
        <f>'Budget with Assumptions'!A146</f>
        <v>Excess $10 million Limits Insurance</v>
      </c>
      <c r="B146" s="23"/>
      <c r="C146" s="23"/>
      <c r="D146" s="101">
        <f>'Budget with Assumptions'!J146</f>
        <v>1000</v>
      </c>
      <c r="E146" s="271"/>
      <c r="F146" s="101">
        <f>'Budget with Assumptions'!L146</f>
        <v>5000</v>
      </c>
      <c r="G146" s="271"/>
      <c r="H146" s="101">
        <f>'Budget with Assumptions'!N146</f>
        <v>5000</v>
      </c>
      <c r="I146" s="271"/>
      <c r="J146" s="101">
        <f>'Budget with Assumptions'!P146</f>
        <v>10000</v>
      </c>
      <c r="K146" s="272"/>
      <c r="L146" s="101">
        <f>'Budget with Assumptions'!R146</f>
        <v>10000</v>
      </c>
      <c r="M146" s="262"/>
      <c r="N146" s="101">
        <f>'Budget with Assumptions'!T146</f>
        <v>5000</v>
      </c>
      <c r="P146" s="286">
        <f t="shared" si="45"/>
        <v>0.004674847459610522</v>
      </c>
      <c r="Q146" s="286">
        <f t="shared" si="46"/>
        <v>0.003384326891991002</v>
      </c>
      <c r="R146" s="286">
        <f t="shared" si="47"/>
        <v>0.00495904622583959</v>
      </c>
      <c r="S146" s="286">
        <f t="shared" si="48"/>
        <v>0.0049213387157554505</v>
      </c>
      <c r="T146" s="286">
        <f t="shared" si="49"/>
        <v>0.0024346253366893124</v>
      </c>
      <c r="U146"/>
      <c r="V146" s="295">
        <f>F146/$F$171</f>
        <v>55.55555555555556</v>
      </c>
      <c r="W146" s="295">
        <f>H146/$H$171</f>
        <v>37.03703703703704</v>
      </c>
      <c r="X146" s="295">
        <f>J146/$J$171</f>
        <v>55.55555555555556</v>
      </c>
      <c r="Y146" s="295">
        <f>L146/$L$171</f>
        <v>55.55555555555556</v>
      </c>
      <c r="Z146" s="295">
        <f>N146/$N$171</f>
        <v>27.77777777777778</v>
      </c>
    </row>
    <row r="147" spans="1:26" ht="15">
      <c r="A147" s="167" t="str">
        <f>'Budget with Assumptions'!A147</f>
        <v>Directors &amp; Officers / Employment Practices / Fiduciary Insurance</v>
      </c>
      <c r="B147" s="25"/>
      <c r="C147" s="25"/>
      <c r="D147" s="101">
        <f>'Budget with Assumptions'!J147</f>
        <v>900</v>
      </c>
      <c r="E147" s="271"/>
      <c r="F147" s="101">
        <f>'Budget with Assumptions'!L147</f>
        <v>3800</v>
      </c>
      <c r="G147" s="271"/>
      <c r="H147" s="101">
        <f>'Budget with Assumptions'!N147</f>
        <v>3800</v>
      </c>
      <c r="I147" s="271"/>
      <c r="J147" s="101">
        <f>'Budget with Assumptions'!P147</f>
        <v>7600</v>
      </c>
      <c r="K147" s="272"/>
      <c r="L147" s="101">
        <f>'Budget with Assumptions'!R147</f>
        <v>7600</v>
      </c>
      <c r="M147" s="262"/>
      <c r="N147" s="101">
        <f>'Budget with Assumptions'!T147</f>
        <v>7000</v>
      </c>
      <c r="P147" s="286">
        <f t="shared" si="45"/>
        <v>0.0035528840693039966</v>
      </c>
      <c r="Q147" s="286">
        <f t="shared" si="46"/>
        <v>0.002572088437913161</v>
      </c>
      <c r="R147" s="286">
        <f t="shared" si="47"/>
        <v>0.003768875131638088</v>
      </c>
      <c r="S147" s="286">
        <f t="shared" si="48"/>
        <v>0.0037402174239741424</v>
      </c>
      <c r="T147" s="286">
        <f t="shared" si="49"/>
        <v>0.0034084754713650375</v>
      </c>
      <c r="U147"/>
      <c r="V147" s="295">
        <f t="shared" si="50"/>
        <v>42.22222222222222</v>
      </c>
      <c r="W147" s="295">
        <f t="shared" si="51"/>
        <v>28.14814814814815</v>
      </c>
      <c r="X147" s="295">
        <f t="shared" si="52"/>
        <v>42.22222222222222</v>
      </c>
      <c r="Y147" s="295">
        <f t="shared" si="53"/>
        <v>42.22222222222222</v>
      </c>
      <c r="Z147" s="295">
        <f t="shared" si="54"/>
        <v>38.888888888888886</v>
      </c>
    </row>
    <row r="148" spans="1:26" ht="15">
      <c r="A148" s="167" t="str">
        <f>'Budget with Assumptions'!A148</f>
        <v>Workers Compensation/Employers Liability Insurance</v>
      </c>
      <c r="B148" s="25"/>
      <c r="C148" s="25"/>
      <c r="D148" s="101">
        <f>'Budget with Assumptions'!J148</f>
        <v>1900</v>
      </c>
      <c r="E148" s="271"/>
      <c r="F148" s="101">
        <f>'Budget with Assumptions'!L148</f>
        <v>5500</v>
      </c>
      <c r="G148" s="271"/>
      <c r="H148" s="101">
        <f>'Budget with Assumptions'!N148</f>
        <v>5500</v>
      </c>
      <c r="I148" s="271"/>
      <c r="J148" s="101">
        <f>'Budget with Assumptions'!P148</f>
        <v>11000</v>
      </c>
      <c r="K148" s="272"/>
      <c r="L148" s="101">
        <f>'Budget with Assumptions'!R148</f>
        <v>11000</v>
      </c>
      <c r="M148" s="262"/>
      <c r="N148" s="101">
        <f>'Budget with Assumptions'!T148</f>
        <v>11000</v>
      </c>
      <c r="P148" s="286">
        <f t="shared" si="45"/>
        <v>0.005142332205571574</v>
      </c>
      <c r="Q148" s="286">
        <f t="shared" si="46"/>
        <v>0.003722759581190102</v>
      </c>
      <c r="R148" s="286">
        <f t="shared" si="47"/>
        <v>0.0054549508484235485</v>
      </c>
      <c r="S148" s="286">
        <f t="shared" si="48"/>
        <v>0.005413472587330995</v>
      </c>
      <c r="T148" s="286">
        <f t="shared" si="49"/>
        <v>0.005356175740716488</v>
      </c>
      <c r="U148"/>
      <c r="V148" s="295">
        <f t="shared" si="50"/>
        <v>61.111111111111114</v>
      </c>
      <c r="W148" s="295">
        <f t="shared" si="51"/>
        <v>40.74074074074074</v>
      </c>
      <c r="X148" s="295">
        <f t="shared" si="52"/>
        <v>61.111111111111114</v>
      </c>
      <c r="Y148" s="295">
        <f t="shared" si="53"/>
        <v>61.111111111111114</v>
      </c>
      <c r="Z148" s="295">
        <f t="shared" si="54"/>
        <v>61.111111111111114</v>
      </c>
    </row>
    <row r="149" spans="1:26" ht="15" thickBot="1">
      <c r="A149" s="22"/>
      <c r="B149" s="25"/>
      <c r="C149" s="25"/>
      <c r="D149" s="278"/>
      <c r="E149" s="271"/>
      <c r="F149" s="278"/>
      <c r="G149" s="271"/>
      <c r="H149" s="278"/>
      <c r="I149" s="271"/>
      <c r="J149" s="278"/>
      <c r="K149" s="272"/>
      <c r="L149" s="254"/>
      <c r="M149" s="262"/>
      <c r="N149" s="254"/>
      <c r="P149" s="287"/>
      <c r="Q149" s="287"/>
      <c r="R149" s="287"/>
      <c r="S149" s="287"/>
      <c r="T149" s="287"/>
      <c r="U149"/>
      <c r="V149" s="195"/>
      <c r="W149" s="195"/>
      <c r="X149" s="195"/>
      <c r="Y149" s="195"/>
      <c r="Z149" s="195"/>
    </row>
    <row r="150" spans="1:26" ht="15" thickBot="1">
      <c r="A150" s="78" t="s">
        <v>15</v>
      </c>
      <c r="B150" s="23"/>
      <c r="C150" s="23"/>
      <c r="D150" s="132">
        <f>SUM(D136:D148)</f>
        <v>4650</v>
      </c>
      <c r="E150" s="98"/>
      <c r="F150" s="132">
        <f>SUM(F136:F148)</f>
        <v>40604.464</v>
      </c>
      <c r="G150" s="98"/>
      <c r="H150" s="132">
        <f>SUM(H136:H148)</f>
        <v>48814.42600000001</v>
      </c>
      <c r="I150" s="98"/>
      <c r="J150" s="132">
        <f>SUM(J136:J148)</f>
        <v>77625.24799999999</v>
      </c>
      <c r="K150" s="99"/>
      <c r="L150" s="132">
        <f>SUM(L136:L148)</f>
        <v>77625.24799999999</v>
      </c>
      <c r="M150" s="247"/>
      <c r="N150" s="132">
        <f>SUM(N136:N148)</f>
        <v>72025.24799999999</v>
      </c>
      <c r="O150" s="58"/>
      <c r="P150" s="161">
        <f>SUM(P136:P148)</f>
        <v>0.03796393507584938</v>
      </c>
      <c r="Q150" s="161">
        <f>SUM(Q136:Q148)</f>
        <v>0.03304079492578095</v>
      </c>
      <c r="R150" s="161">
        <f>SUM(R136:R148)</f>
        <v>0.038494719312426214</v>
      </c>
      <c r="S150" s="161">
        <f>SUM(S136:S148)</f>
        <v>0.03820201383025183</v>
      </c>
      <c r="T150" s="161">
        <f>SUM(T136:T148)</f>
        <v>0.03507089873242625</v>
      </c>
      <c r="U150"/>
      <c r="V150" s="163">
        <f>SUM(V136:V148)</f>
        <v>451.16071111111114</v>
      </c>
      <c r="W150" s="163">
        <f>SUM(W136:W148)</f>
        <v>361.5883407407408</v>
      </c>
      <c r="X150" s="163">
        <f>SUM(X136:X148)</f>
        <v>431.25137777777775</v>
      </c>
      <c r="Y150" s="163">
        <f>SUM(Y136:Y148)</f>
        <v>431.25137777777775</v>
      </c>
      <c r="Z150" s="163">
        <f>SUM(Z136:Z148)</f>
        <v>400.14026666666666</v>
      </c>
    </row>
    <row r="151" spans="1:26" ht="15" thickBot="1">
      <c r="A151" s="34"/>
      <c r="B151" s="21"/>
      <c r="C151" s="21"/>
      <c r="D151" s="195"/>
      <c r="E151" s="195"/>
      <c r="F151" s="195"/>
      <c r="G151" s="195"/>
      <c r="H151" s="195"/>
      <c r="I151" s="195"/>
      <c r="J151" s="195"/>
      <c r="K151" s="248"/>
      <c r="L151" s="195"/>
      <c r="M151" s="248"/>
      <c r="N151" s="195"/>
      <c r="P151" s="287"/>
      <c r="Q151" s="287"/>
      <c r="R151" s="287"/>
      <c r="S151" s="287"/>
      <c r="T151" s="287"/>
      <c r="V151" s="195"/>
      <c r="W151" s="195"/>
      <c r="X151" s="195"/>
      <c r="Y151" s="195"/>
      <c r="Z151" s="195"/>
    </row>
    <row r="152" spans="1:26" ht="15" thickBot="1">
      <c r="A152" s="81" t="s">
        <v>16</v>
      </c>
      <c r="B152" s="35"/>
      <c r="C152" s="35"/>
      <c r="D152" s="132">
        <f>D57+D85+D109+D131+D133+D150</f>
        <v>165553.75</v>
      </c>
      <c r="E152" s="249"/>
      <c r="F152" s="132">
        <f>F57+F85+F109+F131+F133+F150</f>
        <v>1069553.615</v>
      </c>
      <c r="G152" s="249"/>
      <c r="H152" s="132">
        <f>H57+H85+H109+H131+H133+H150</f>
        <v>1477398.6555</v>
      </c>
      <c r="I152" s="249"/>
      <c r="J152" s="132">
        <f>J57+J85+J109+J131+J133+J150</f>
        <v>2016516.7946799998</v>
      </c>
      <c r="K152" s="250"/>
      <c r="L152" s="132">
        <f>L57+L85+L109+L131+L133+L150</f>
        <v>2031967.4335736001</v>
      </c>
      <c r="M152" s="251"/>
      <c r="N152" s="132">
        <f>N57+N85+N109+N131+N133+N150</f>
        <v>2053704.085245072</v>
      </c>
      <c r="P152" s="291">
        <f>P57+P85+P109+P131+P133+P150</f>
        <v>0.9999999999999999</v>
      </c>
      <c r="Q152" s="291">
        <f>Q57+Q85+Q109+Q131+Q133+Q150</f>
        <v>1</v>
      </c>
      <c r="R152" s="291">
        <f>R57+R85+R109+R131+R133+R150</f>
        <v>1.0000000000000002</v>
      </c>
      <c r="S152" s="291">
        <f>S57+S85+S109+S131+S133+S150</f>
        <v>1</v>
      </c>
      <c r="T152" s="291">
        <f>T57+T85+T109+T131+T133+T150</f>
        <v>1</v>
      </c>
      <c r="U152"/>
      <c r="V152" s="296">
        <f>V57+V85+V109+V131+V133+V150</f>
        <v>11883.929055555556</v>
      </c>
      <c r="W152" s="296">
        <f>W57+W85+W109+W131+W133+W150</f>
        <v>10943.693744444443</v>
      </c>
      <c r="X152" s="296">
        <f>X57+X85+X109+X131+X133+X150</f>
        <v>11202.871081555557</v>
      </c>
      <c r="Y152" s="296">
        <f>Y57+Y85+Y109+Y131+Y133+Y150</f>
        <v>11288.70796429778</v>
      </c>
      <c r="Z152" s="296">
        <f>Z57+Z85+Z109+Z131+Z133+Z150</f>
        <v>11409.467140250401</v>
      </c>
    </row>
    <row r="153" spans="1:14" ht="15" thickBot="1">
      <c r="A153" s="77"/>
      <c r="B153" s="36"/>
      <c r="C153" s="36"/>
      <c r="D153" s="195"/>
      <c r="E153" s="195"/>
      <c r="F153" s="195"/>
      <c r="G153" s="195"/>
      <c r="H153" s="195"/>
      <c r="I153" s="195"/>
      <c r="J153" s="195"/>
      <c r="K153" s="248"/>
      <c r="L153" s="195"/>
      <c r="M153" s="248"/>
      <c r="N153" s="195"/>
    </row>
    <row r="154" spans="1:26" ht="15" thickBot="1">
      <c r="A154" s="109" t="s">
        <v>21</v>
      </c>
      <c r="B154" s="35"/>
      <c r="C154" s="35"/>
      <c r="D154" s="252">
        <f>D28-D152</f>
        <v>84446.25</v>
      </c>
      <c r="E154" s="253"/>
      <c r="F154" s="252">
        <f>F28-F152</f>
        <v>70669.58499999996</v>
      </c>
      <c r="G154" s="253"/>
      <c r="H154" s="252">
        <f>H28-H152</f>
        <v>73322.64449999994</v>
      </c>
      <c r="I154" s="249"/>
      <c r="J154" s="252">
        <f>J28-J152</f>
        <v>84745.60532000009</v>
      </c>
      <c r="K154" s="250"/>
      <c r="L154" s="252">
        <f>L28-L152</f>
        <v>69294.96642639977</v>
      </c>
      <c r="M154" s="298"/>
      <c r="N154" s="252">
        <f>N28-N152</f>
        <v>47558.314754928</v>
      </c>
      <c r="P154" s="158"/>
      <c r="Q154" s="158"/>
      <c r="R154" s="158"/>
      <c r="S154" s="158"/>
      <c r="T154" s="158"/>
      <c r="U154"/>
      <c r="V154"/>
      <c r="W154"/>
      <c r="X154"/>
      <c r="Y154"/>
      <c r="Z154"/>
    </row>
    <row r="155" spans="1:26" ht="15" thickBot="1">
      <c r="A155" s="105"/>
      <c r="B155" s="108"/>
      <c r="C155" s="104"/>
      <c r="D155" s="254"/>
      <c r="E155" s="254"/>
      <c r="F155" s="254"/>
      <c r="G155" s="254"/>
      <c r="H155" s="254"/>
      <c r="I155" s="254"/>
      <c r="J155" s="254"/>
      <c r="K155" s="255"/>
      <c r="L155" s="254"/>
      <c r="M155" s="256"/>
      <c r="N155" s="254"/>
      <c r="P155" s="158"/>
      <c r="Q155" s="158"/>
      <c r="R155" s="158"/>
      <c r="S155" s="158"/>
      <c r="T155" s="158"/>
      <c r="U155"/>
      <c r="V155" s="162"/>
      <c r="W155" s="162"/>
      <c r="X155" s="162"/>
      <c r="Y155" s="162"/>
      <c r="Z155" s="162"/>
    </row>
    <row r="156" spans="1:26" ht="15" thickBot="1">
      <c r="A156" s="106" t="s">
        <v>97</v>
      </c>
      <c r="B156" s="31"/>
      <c r="C156" s="31"/>
      <c r="D156" s="131">
        <f>0</f>
        <v>0</v>
      </c>
      <c r="E156" s="254"/>
      <c r="F156" s="133">
        <f>D158</f>
        <v>84446.25</v>
      </c>
      <c r="G156" s="257"/>
      <c r="H156" s="133">
        <f>F158</f>
        <v>155115.83499999996</v>
      </c>
      <c r="I156" s="257"/>
      <c r="J156" s="133">
        <f>H158</f>
        <v>228438.4794999999</v>
      </c>
      <c r="K156" s="258"/>
      <c r="L156" s="133">
        <f>J158</f>
        <v>313184.08482</v>
      </c>
      <c r="M156" s="258"/>
      <c r="N156" s="133">
        <f>L158</f>
        <v>382479.05124639976</v>
      </c>
      <c r="P156" s="158"/>
      <c r="Q156" s="158"/>
      <c r="R156" s="158"/>
      <c r="S156" s="158"/>
      <c r="T156" s="158"/>
      <c r="U156"/>
      <c r="V156" s="162"/>
      <c r="W156" s="162"/>
      <c r="X156" s="162"/>
      <c r="Y156" s="162"/>
      <c r="Z156" s="162"/>
    </row>
    <row r="157" spans="1:26" ht="15" thickBot="1">
      <c r="A157" s="107" t="s">
        <v>98</v>
      </c>
      <c r="B157" s="31"/>
      <c r="C157" s="31"/>
      <c r="D157" s="133">
        <f>D154</f>
        <v>84446.25</v>
      </c>
      <c r="E157" s="40"/>
      <c r="F157" s="133">
        <f>F154</f>
        <v>70669.58499999996</v>
      </c>
      <c r="G157" s="146"/>
      <c r="H157" s="133">
        <f>H154</f>
        <v>73322.64449999994</v>
      </c>
      <c r="I157" s="146"/>
      <c r="J157" s="133">
        <f>J154</f>
        <v>84745.60532000009</v>
      </c>
      <c r="K157" s="147"/>
      <c r="L157" s="133">
        <f>L154</f>
        <v>69294.96642639977</v>
      </c>
      <c r="M157" s="147"/>
      <c r="N157" s="133">
        <f>N154</f>
        <v>47558.314754928</v>
      </c>
      <c r="O157"/>
      <c r="P157" s="158"/>
      <c r="Q157" s="158"/>
      <c r="R157" s="158"/>
      <c r="S157" s="158"/>
      <c r="T157" s="158"/>
      <c r="U157"/>
      <c r="V157"/>
      <c r="W157"/>
      <c r="X157"/>
      <c r="Y157"/>
      <c r="Z157"/>
    </row>
    <row r="158" spans="1:26" ht="15" thickBot="1">
      <c r="A158" s="118" t="s">
        <v>99</v>
      </c>
      <c r="B158" s="39"/>
      <c r="C158" s="39"/>
      <c r="D158" s="133">
        <f>D156+D157</f>
        <v>84446.25</v>
      </c>
      <c r="E158" s="39"/>
      <c r="F158" s="133">
        <f>F156+F157</f>
        <v>155115.83499999996</v>
      </c>
      <c r="G158" s="259"/>
      <c r="H158" s="133">
        <f>H156+H157</f>
        <v>228438.4794999999</v>
      </c>
      <c r="I158" s="259"/>
      <c r="J158" s="133">
        <f>J156+J157</f>
        <v>313184.08482</v>
      </c>
      <c r="K158" s="260"/>
      <c r="L158" s="133">
        <f>L156+L157</f>
        <v>382479.05124639976</v>
      </c>
      <c r="M158" s="147"/>
      <c r="N158" s="133">
        <f>N156+N157</f>
        <v>430037.36600132775</v>
      </c>
      <c r="O158"/>
      <c r="P158" s="158"/>
      <c r="Q158" s="158"/>
      <c r="R158" s="158"/>
      <c r="S158" s="158"/>
      <c r="T158" s="158"/>
      <c r="U158"/>
      <c r="V158"/>
      <c r="W158"/>
      <c r="X158"/>
      <c r="Y158"/>
      <c r="Z158"/>
    </row>
    <row r="159" spans="1:26" ht="15">
      <c r="A159" s="20"/>
      <c r="B159" s="37"/>
      <c r="C159" s="37"/>
      <c r="D159" s="261"/>
      <c r="E159" s="38"/>
      <c r="F159" s="261"/>
      <c r="G159" s="38"/>
      <c r="H159" s="261"/>
      <c r="I159" s="38"/>
      <c r="J159" s="261"/>
      <c r="K159" s="247"/>
      <c r="L159" s="261"/>
      <c r="M159" s="262"/>
      <c r="N159" s="195"/>
      <c r="O159"/>
      <c r="P159" s="158"/>
      <c r="Q159" s="158"/>
      <c r="R159" s="158"/>
      <c r="S159" s="158"/>
      <c r="T159" s="158"/>
      <c r="U159"/>
      <c r="V159"/>
      <c r="W159"/>
      <c r="X159"/>
      <c r="Y159"/>
      <c r="Z159"/>
    </row>
    <row r="160" spans="1:26" ht="15">
      <c r="A160" s="20"/>
      <c r="B160" s="20"/>
      <c r="C160" s="20"/>
      <c r="D160" s="195"/>
      <c r="E160" s="195"/>
      <c r="F160" s="195"/>
      <c r="G160" s="195"/>
      <c r="H160" s="195"/>
      <c r="I160" s="195"/>
      <c r="J160" s="195"/>
      <c r="K160" s="248"/>
      <c r="L160" s="195"/>
      <c r="M160" s="248"/>
      <c r="N160" s="195"/>
      <c r="O160"/>
      <c r="P160" s="158"/>
      <c r="Q160" s="158"/>
      <c r="R160" s="158"/>
      <c r="S160" s="158"/>
      <c r="T160" s="158"/>
      <c r="U160"/>
      <c r="V160"/>
      <c r="W160"/>
      <c r="X160"/>
      <c r="Y160"/>
      <c r="Z160"/>
    </row>
    <row r="161" spans="1:26" ht="15">
      <c r="A161" s="20"/>
      <c r="B161" s="20"/>
      <c r="C161" s="20"/>
      <c r="D161" s="261"/>
      <c r="E161" s="38"/>
      <c r="F161" s="261"/>
      <c r="G161" s="38"/>
      <c r="H161" s="261"/>
      <c r="I161" s="38"/>
      <c r="J161" s="261"/>
      <c r="K161" s="247"/>
      <c r="L161" s="261"/>
      <c r="M161" s="262"/>
      <c r="N161" s="195"/>
      <c r="O161"/>
      <c r="P161" s="158"/>
      <c r="Q161" s="158"/>
      <c r="R161" s="158"/>
      <c r="S161" s="158"/>
      <c r="T161" s="158"/>
      <c r="U161"/>
      <c r="V161"/>
      <c r="W161"/>
      <c r="X161"/>
      <c r="Y161"/>
      <c r="Z161"/>
    </row>
    <row r="162" spans="2:26" ht="15">
      <c r="B162" s="20"/>
      <c r="C162" s="20"/>
      <c r="D162" s="261"/>
      <c r="E162" s="38"/>
      <c r="F162" s="261"/>
      <c r="G162" s="38"/>
      <c r="H162" s="261"/>
      <c r="I162" s="38"/>
      <c r="J162" s="261"/>
      <c r="K162" s="247"/>
      <c r="L162" s="261"/>
      <c r="M162" s="262"/>
      <c r="N162" s="195"/>
      <c r="O162"/>
      <c r="P162" s="158"/>
      <c r="Q162" s="158"/>
      <c r="R162" s="158"/>
      <c r="S162" s="158"/>
      <c r="T162" s="158"/>
      <c r="U162"/>
      <c r="V162"/>
      <c r="W162"/>
      <c r="X162"/>
      <c r="Y162"/>
      <c r="Z162"/>
    </row>
    <row r="163" spans="4:14" ht="12">
      <c r="D163" s="195"/>
      <c r="E163" s="195"/>
      <c r="F163" s="195"/>
      <c r="G163" s="195"/>
      <c r="H163" s="195"/>
      <c r="I163" s="195"/>
      <c r="J163" s="195"/>
      <c r="K163" s="248"/>
      <c r="L163" s="195"/>
      <c r="M163" s="248"/>
      <c r="N163" s="195"/>
    </row>
    <row r="164" spans="4:14" ht="12">
      <c r="D164" s="195"/>
      <c r="E164" s="195"/>
      <c r="F164" s="195"/>
      <c r="G164" s="195"/>
      <c r="H164" s="195"/>
      <c r="I164" s="195"/>
      <c r="J164" s="195"/>
      <c r="K164" s="248"/>
      <c r="L164" s="195"/>
      <c r="M164" s="248"/>
      <c r="N164" s="195"/>
    </row>
    <row r="165" spans="3:14" ht="12">
      <c r="C165" s="66"/>
      <c r="D165" s="195"/>
      <c r="E165" s="195"/>
      <c r="F165" s="195"/>
      <c r="G165" s="195"/>
      <c r="H165" s="195"/>
      <c r="I165" s="195"/>
      <c r="J165" s="195"/>
      <c r="K165" s="248"/>
      <c r="L165" s="195"/>
      <c r="M165" s="248"/>
      <c r="N165" s="195"/>
    </row>
    <row r="166" spans="3:14" ht="12.75" thickBot="1">
      <c r="C166" s="66"/>
      <c r="D166" s="195"/>
      <c r="E166" s="195"/>
      <c r="F166" s="195"/>
      <c r="G166" s="195"/>
      <c r="H166" s="195"/>
      <c r="I166" s="195"/>
      <c r="J166" s="195"/>
      <c r="K166" s="248"/>
      <c r="L166" s="195"/>
      <c r="M166" s="248"/>
      <c r="N166" s="195"/>
    </row>
    <row r="167" spans="3:14" ht="13.5" thickBot="1">
      <c r="C167" s="83"/>
      <c r="D167" s="690" t="s">
        <v>90</v>
      </c>
      <c r="E167" s="691"/>
      <c r="F167" s="691"/>
      <c r="G167" s="691"/>
      <c r="H167" s="691"/>
      <c r="I167" s="691"/>
      <c r="J167" s="691"/>
      <c r="K167" s="691"/>
      <c r="L167" s="691"/>
      <c r="M167" s="691"/>
      <c r="N167" s="692"/>
    </row>
    <row r="168" spans="3:14" ht="17.25" customHeight="1" thickBot="1">
      <c r="C168" s="66"/>
      <c r="D168" s="113" t="s">
        <v>57</v>
      </c>
      <c r="E168" s="281"/>
      <c r="F168" s="117">
        <f>F9</f>
        <v>2022</v>
      </c>
      <c r="G168" s="281"/>
      <c r="H168" s="117">
        <f>H9</f>
        <v>2023</v>
      </c>
      <c r="I168" s="281"/>
      <c r="J168" s="117">
        <f>J9</f>
        <v>2024</v>
      </c>
      <c r="K168" s="281"/>
      <c r="L168" s="117">
        <f>L9</f>
        <v>2025</v>
      </c>
      <c r="M168" s="281"/>
      <c r="N168" s="117">
        <f>N9</f>
        <v>2026</v>
      </c>
    </row>
    <row r="169" spans="3:14" ht="40.5" customHeight="1" thickBot="1">
      <c r="C169" s="52"/>
      <c r="D169" s="113" t="s">
        <v>68</v>
      </c>
      <c r="E169" s="282"/>
      <c r="F169" s="375">
        <f>'Salaries - Year 1'!B74</f>
        <v>9</v>
      </c>
      <c r="G169" s="281"/>
      <c r="H169" s="375">
        <f>'Salaries - Year 2'!B74</f>
        <v>14</v>
      </c>
      <c r="I169" s="281"/>
      <c r="J169" s="375">
        <f>'Salaries - Year 3'!B74</f>
        <v>19</v>
      </c>
      <c r="K169" s="281"/>
      <c r="L169" s="375">
        <f>'Salaries - Year 4'!B74</f>
        <v>19</v>
      </c>
      <c r="M169" s="281"/>
      <c r="N169" s="375">
        <f>'Salaries - Year 5'!B74</f>
        <v>19</v>
      </c>
    </row>
    <row r="170" spans="3:14" ht="40.5" customHeight="1" thickBot="1">
      <c r="C170" s="52"/>
      <c r="D170" s="113" t="s">
        <v>69</v>
      </c>
      <c r="E170" s="282"/>
      <c r="F170" s="240">
        <f>'Salaries - Year 1'!B62</f>
        <v>487500</v>
      </c>
      <c r="G170" s="282"/>
      <c r="H170" s="240">
        <f>'Salaries - Year 2'!B62</f>
        <v>786140</v>
      </c>
      <c r="I170" s="282"/>
      <c r="J170" s="240">
        <f>'Salaries - Year 3'!B62</f>
        <v>1090014</v>
      </c>
      <c r="K170" s="282"/>
      <c r="L170" s="240">
        <f>'Salaries - Year 4'!B62</f>
        <v>1111814.28</v>
      </c>
      <c r="M170" s="282"/>
      <c r="N170" s="240">
        <f>'Salaries - Year 5'!B62</f>
        <v>1134050.5656</v>
      </c>
    </row>
    <row r="171" spans="3:14" ht="40.5" customHeight="1" thickBot="1">
      <c r="C171" s="52"/>
      <c r="D171" s="113" t="s">
        <v>129</v>
      </c>
      <c r="E171" s="283"/>
      <c r="F171" s="140">
        <f>'Revenues-Federal &amp; State '!E92</f>
        <v>90</v>
      </c>
      <c r="G171" s="283"/>
      <c r="H171" s="140">
        <f>'Revenues-Federal &amp; State '!G92</f>
        <v>135</v>
      </c>
      <c r="I171" s="283"/>
      <c r="J171" s="140">
        <f>'Revenues-Federal &amp; State '!I92</f>
        <v>180</v>
      </c>
      <c r="K171" s="283"/>
      <c r="L171" s="140">
        <f>'Revenues-Federal &amp; State '!K92</f>
        <v>180</v>
      </c>
      <c r="M171" s="283"/>
      <c r="N171" s="140">
        <f>'Revenues-Federal &amp; State '!M92</f>
        <v>180</v>
      </c>
    </row>
    <row r="172" ht="12" hidden="1"/>
    <row r="173" ht="12" hidden="1"/>
    <row r="174" ht="12" hidden="1"/>
    <row r="175" ht="12" hidden="1"/>
    <row r="176" ht="12" hidden="1"/>
    <row r="177" ht="12" hidden="1"/>
    <row r="178" ht="12" hidden="1"/>
    <row r="179" ht="12" hidden="1"/>
    <row r="180" ht="12" hidden="1"/>
    <row r="181" ht="12" hidden="1"/>
    <row r="182" ht="12" hidden="1"/>
    <row r="183" ht="12" hidden="1"/>
    <row r="184" ht="12" hidden="1"/>
    <row r="185" ht="12" hidden="1"/>
    <row r="186" ht="12" hidden="1"/>
    <row r="187" ht="12" hidden="1"/>
    <row r="188" ht="12" hidden="1"/>
    <row r="189" ht="12" hidden="1"/>
    <row r="190" ht="12" hidden="1"/>
    <row r="191" ht="12" hidden="1"/>
    <row r="192" ht="12" hidden="1"/>
    <row r="193" ht="12" hidden="1"/>
    <row r="194" ht="12" hidden="1"/>
    <row r="195" ht="12" hidden="1"/>
    <row r="196" ht="12" hidden="1"/>
    <row r="197" ht="12" hidden="1"/>
    <row r="198" ht="12" hidden="1"/>
    <row r="199" ht="12" hidden="1"/>
    <row r="200" ht="12" hidden="1"/>
    <row r="201" ht="12" hidden="1"/>
    <row r="202" ht="12" hidden="1"/>
    <row r="203" ht="12" hidden="1"/>
    <row r="204" ht="12" hidden="1"/>
    <row r="205" ht="12" hidden="1"/>
    <row r="206" ht="12" hidden="1"/>
    <row r="207" ht="12" hidden="1"/>
    <row r="208" ht="12" hidden="1"/>
    <row r="209" ht="12" hidden="1"/>
    <row r="210" ht="12" hidden="1"/>
    <row r="211" ht="12" hidden="1"/>
    <row r="212" ht="12" hidden="1"/>
    <row r="213" ht="12" hidden="1"/>
    <row r="214" ht="12" hidden="1"/>
    <row r="215" ht="12" hidden="1"/>
    <row r="216" ht="12" hidden="1"/>
    <row r="217" ht="12" hidden="1"/>
    <row r="218" ht="12" hidden="1"/>
    <row r="219" ht="12" hidden="1"/>
    <row r="220" ht="12" hidden="1"/>
    <row r="221" ht="12" hidden="1"/>
    <row r="222" ht="12" hidden="1"/>
    <row r="223" ht="12" hidden="1"/>
    <row r="224" ht="12" hidden="1"/>
    <row r="225" ht="12" hidden="1"/>
    <row r="226" ht="12" hidden="1"/>
    <row r="227" ht="12" hidden="1"/>
    <row r="228" ht="12" hidden="1"/>
    <row r="229" ht="12" hidden="1"/>
    <row r="230" ht="12" hidden="1"/>
    <row r="231" ht="12" hidden="1"/>
    <row r="232" ht="12" hidden="1"/>
    <row r="233" ht="12" hidden="1"/>
    <row r="234" ht="12" hidden="1"/>
    <row r="235" ht="12" hidden="1"/>
    <row r="236" ht="12" hidden="1"/>
    <row r="237" ht="12" hidden="1"/>
    <row r="238" ht="12" hidden="1"/>
    <row r="239" ht="12" hidden="1"/>
    <row r="240" ht="12" hidden="1"/>
    <row r="241" ht="12" hidden="1"/>
    <row r="242" ht="12" hidden="1"/>
    <row r="243" ht="12" hidden="1"/>
    <row r="244" ht="12" hidden="1"/>
    <row r="245" ht="12" hidden="1"/>
    <row r="246" ht="12" hidden="1"/>
    <row r="247" ht="12" hidden="1"/>
    <row r="248" ht="12" hidden="1"/>
    <row r="249" ht="12" hidden="1"/>
    <row r="250" ht="12" hidden="1"/>
    <row r="251" ht="12" hidden="1"/>
    <row r="252" ht="12" hidden="1"/>
    <row r="253" ht="12" hidden="1"/>
    <row r="254" ht="12" hidden="1"/>
    <row r="255" ht="12" hidden="1"/>
    <row r="256" ht="12" hidden="1"/>
    <row r="257" ht="12" hidden="1"/>
    <row r="258" ht="12" hidden="1"/>
    <row r="259" ht="12" hidden="1"/>
    <row r="260" ht="12" hidden="1"/>
    <row r="261" ht="12" hidden="1"/>
    <row r="262" ht="12" hidden="1"/>
    <row r="263" ht="12" hidden="1"/>
    <row r="264" ht="12" hidden="1"/>
    <row r="265" ht="12" hidden="1"/>
    <row r="266" ht="12" hidden="1"/>
    <row r="267" ht="12" hidden="1"/>
    <row r="268" ht="12" hidden="1"/>
    <row r="269" ht="12" hidden="1"/>
    <row r="270" ht="12" hidden="1"/>
    <row r="271" ht="12" hidden="1"/>
    <row r="272" ht="12" hidden="1"/>
    <row r="273" ht="12" hidden="1"/>
    <row r="274" ht="12" hidden="1"/>
    <row r="275" ht="12" hidden="1"/>
    <row r="276" ht="12" hidden="1"/>
    <row r="277" ht="12" hidden="1"/>
    <row r="278" ht="12" hidden="1"/>
    <row r="279" ht="12" hidden="1"/>
    <row r="280" ht="12" hidden="1"/>
    <row r="281" ht="12" hidden="1"/>
    <row r="282" ht="12" hidden="1"/>
    <row r="283" ht="12" hidden="1"/>
    <row r="284" ht="12" hidden="1"/>
    <row r="285" ht="12" hidden="1"/>
    <row r="286" ht="12" hidden="1"/>
    <row r="287" ht="12" hidden="1"/>
    <row r="288" ht="12" hidden="1"/>
    <row r="289" ht="12" hidden="1"/>
    <row r="290" ht="12" hidden="1"/>
    <row r="291" ht="12" hidden="1"/>
    <row r="292" ht="12" hidden="1"/>
    <row r="293" ht="12" hidden="1"/>
    <row r="294" ht="12" hidden="1"/>
    <row r="295" ht="12" hidden="1"/>
    <row r="296" ht="12" hidden="1"/>
    <row r="297" ht="12" hidden="1"/>
    <row r="298" ht="12" hidden="1"/>
    <row r="299" ht="12" hidden="1"/>
    <row r="300" ht="12" hidden="1"/>
    <row r="301" ht="12" hidden="1"/>
    <row r="302" ht="12" hidden="1"/>
    <row r="303" ht="12" hidden="1"/>
    <row r="304" ht="12" hidden="1"/>
    <row r="305" ht="12" hidden="1"/>
    <row r="306" ht="12" hidden="1"/>
    <row r="307" ht="12" hidden="1"/>
    <row r="308" ht="12" hidden="1"/>
    <row r="309" ht="12" hidden="1"/>
    <row r="310" ht="12" hidden="1"/>
    <row r="311" ht="12" hidden="1"/>
    <row r="312" ht="12" hidden="1"/>
    <row r="313" ht="12" hidden="1"/>
    <row r="314" ht="12" hidden="1"/>
    <row r="315" ht="12" hidden="1"/>
    <row r="316" ht="12" hidden="1"/>
    <row r="317" ht="12" hidden="1"/>
    <row r="318" ht="12" hidden="1"/>
    <row r="319" ht="12" hidden="1"/>
    <row r="320" ht="12" hidden="1"/>
    <row r="321" ht="12" hidden="1"/>
    <row r="322" ht="12" hidden="1"/>
    <row r="323" ht="12" hidden="1"/>
    <row r="324" ht="12" hidden="1"/>
    <row r="325" ht="12" hidden="1"/>
    <row r="326" ht="12" hidden="1"/>
    <row r="327" ht="12" hidden="1"/>
    <row r="328" ht="12" hidden="1"/>
    <row r="329" ht="12" hidden="1"/>
    <row r="330" ht="12" hidden="1"/>
    <row r="331" ht="12" hidden="1"/>
    <row r="332" ht="12" hidden="1"/>
    <row r="333" ht="12" hidden="1"/>
    <row r="334" ht="12" hidden="1"/>
    <row r="335" ht="12" hidden="1"/>
    <row r="336" ht="12" hidden="1"/>
    <row r="337" ht="12" hidden="1"/>
    <row r="338" ht="12" hidden="1"/>
    <row r="339" ht="12" hidden="1"/>
    <row r="340" ht="12" hidden="1"/>
    <row r="341" ht="12" hidden="1"/>
    <row r="342" ht="12" hidden="1"/>
    <row r="343" ht="12" hidden="1"/>
    <row r="344" ht="12" hidden="1"/>
    <row r="345" ht="12" hidden="1"/>
    <row r="346" ht="12" hidden="1"/>
    <row r="347" ht="12" hidden="1"/>
    <row r="348" ht="12" hidden="1"/>
    <row r="349" ht="12" hidden="1"/>
    <row r="350" ht="12" hidden="1"/>
    <row r="351" ht="12" hidden="1"/>
    <row r="352" ht="12" hidden="1"/>
    <row r="353" ht="12" hidden="1"/>
    <row r="354" ht="12" hidden="1"/>
    <row r="355" ht="12" hidden="1"/>
    <row r="356" ht="12" hidden="1"/>
    <row r="357" ht="12" hidden="1"/>
    <row r="358" ht="12" hidden="1"/>
    <row r="359" ht="12" hidden="1"/>
    <row r="360" ht="12" hidden="1"/>
    <row r="361" ht="12" hidden="1"/>
    <row r="362" ht="12" hidden="1"/>
    <row r="363" ht="12" hidden="1"/>
    <row r="364" ht="12" hidden="1"/>
    <row r="365" ht="12" hidden="1"/>
    <row r="366" ht="12" hidden="1"/>
    <row r="367" ht="12" hidden="1"/>
    <row r="368" ht="12" hidden="1"/>
    <row r="369" ht="12" hidden="1"/>
    <row r="370" ht="12" hidden="1"/>
    <row r="371" ht="12" hidden="1"/>
    <row r="372" ht="12" hidden="1"/>
    <row r="373" ht="12" hidden="1"/>
    <row r="374" ht="12" hidden="1"/>
    <row r="375" ht="12" hidden="1"/>
    <row r="376" ht="12" hidden="1"/>
    <row r="377" ht="12" hidden="1"/>
    <row r="378" ht="12" hidden="1"/>
    <row r="379" ht="12" hidden="1"/>
    <row r="380" ht="12" hidden="1"/>
    <row r="381" ht="12" hidden="1"/>
    <row r="382" ht="12" hidden="1"/>
    <row r="383" ht="12" hidden="1"/>
    <row r="384" ht="12" hidden="1"/>
    <row r="385" ht="12" hidden="1"/>
    <row r="386" ht="12" hidden="1"/>
    <row r="387" ht="12" hidden="1"/>
    <row r="388" ht="12" hidden="1"/>
    <row r="389" ht="12" hidden="1"/>
    <row r="390" ht="12" hidden="1"/>
    <row r="391" ht="12" hidden="1"/>
    <row r="392" ht="12" hidden="1"/>
    <row r="393" ht="12" hidden="1"/>
    <row r="394" ht="12" hidden="1"/>
    <row r="395" ht="12" hidden="1"/>
    <row r="396" ht="12" hidden="1"/>
    <row r="397" ht="12" hidden="1"/>
    <row r="398" ht="12" hidden="1"/>
    <row r="399" ht="12" hidden="1"/>
    <row r="400" ht="12" hidden="1"/>
    <row r="401" ht="12" hidden="1"/>
    <row r="402" ht="12" hidden="1"/>
    <row r="403" ht="12" hidden="1"/>
    <row r="404" ht="12" hidden="1"/>
    <row r="405" ht="12" hidden="1"/>
    <row r="406" ht="12" hidden="1"/>
    <row r="407" ht="12" hidden="1"/>
    <row r="408" ht="12" hidden="1"/>
    <row r="409" ht="12" hidden="1"/>
    <row r="410" ht="12" hidden="1"/>
    <row r="411" ht="12" hidden="1"/>
    <row r="412" ht="12" hidden="1"/>
    <row r="413" ht="12" hidden="1"/>
    <row r="414" ht="12" hidden="1"/>
    <row r="415" ht="12" hidden="1"/>
    <row r="416" ht="12" hidden="1"/>
    <row r="417" ht="12" hidden="1"/>
    <row r="418" ht="12" hidden="1"/>
    <row r="419" ht="12" hidden="1"/>
    <row r="420" ht="12" hidden="1"/>
    <row r="421" ht="12" hidden="1"/>
    <row r="422" ht="12" hidden="1"/>
    <row r="423" ht="12" hidden="1"/>
    <row r="424" ht="12" hidden="1"/>
    <row r="425" ht="12" hidden="1"/>
    <row r="426" ht="12" hidden="1"/>
    <row r="427" ht="12" hidden="1"/>
    <row r="428" ht="12" hidden="1"/>
    <row r="429" ht="12" hidden="1"/>
    <row r="430" ht="12" hidden="1"/>
    <row r="431" ht="12" hidden="1"/>
    <row r="432" ht="12" hidden="1"/>
    <row r="433" ht="12" hidden="1"/>
    <row r="434" ht="12" hidden="1"/>
    <row r="435" ht="12" hidden="1"/>
    <row r="436" ht="12" hidden="1"/>
    <row r="437" ht="12" hidden="1"/>
    <row r="438" ht="12" hidden="1"/>
    <row r="439" ht="12" hidden="1"/>
    <row r="440" ht="12" hidden="1"/>
    <row r="441" ht="12" hidden="1"/>
    <row r="442" ht="12" hidden="1"/>
    <row r="443" ht="12" hidden="1"/>
    <row r="444" ht="12" hidden="1"/>
    <row r="445" ht="12" hidden="1"/>
    <row r="446" ht="12" hidden="1"/>
    <row r="447" ht="12" hidden="1"/>
    <row r="448" ht="12" hidden="1"/>
    <row r="449" ht="12" hidden="1"/>
    <row r="450" ht="12" hidden="1"/>
    <row r="451" ht="12" hidden="1"/>
    <row r="452" ht="12" hidden="1"/>
    <row r="453" ht="12" hidden="1"/>
    <row r="454" ht="12" hidden="1"/>
    <row r="455" ht="12" hidden="1"/>
    <row r="456" ht="12" hidden="1"/>
    <row r="457" ht="12" hidden="1"/>
    <row r="458" ht="12" hidden="1"/>
    <row r="459" ht="12" hidden="1"/>
    <row r="460" ht="12" hidden="1"/>
    <row r="461" ht="12" hidden="1"/>
    <row r="462" ht="12" hidden="1"/>
    <row r="463" ht="12" hidden="1"/>
    <row r="464" ht="12" hidden="1"/>
    <row r="465" ht="12" hidden="1"/>
    <row r="466" ht="12" hidden="1"/>
    <row r="467" ht="12" hidden="1"/>
    <row r="468" ht="12" hidden="1"/>
    <row r="469" ht="12" hidden="1"/>
    <row r="470" ht="12" hidden="1"/>
    <row r="471" ht="12" hidden="1"/>
    <row r="472" ht="12" hidden="1"/>
    <row r="473" ht="12" hidden="1"/>
    <row r="474" ht="12" hidden="1"/>
    <row r="475" ht="12" hidden="1"/>
    <row r="476" ht="12" hidden="1"/>
    <row r="477" ht="12" hidden="1"/>
    <row r="478" ht="12" hidden="1"/>
    <row r="479" ht="12" hidden="1"/>
    <row r="480" ht="12" hidden="1"/>
    <row r="481" ht="12" hidden="1"/>
    <row r="482" ht="12" hidden="1"/>
    <row r="483" ht="12" hidden="1"/>
    <row r="484" ht="12" hidden="1"/>
    <row r="485" ht="12" hidden="1"/>
    <row r="486" ht="12" hidden="1"/>
    <row r="487" ht="12" hidden="1"/>
    <row r="488" ht="12" hidden="1"/>
    <row r="489" ht="12" hidden="1"/>
    <row r="490" ht="12" hidden="1"/>
    <row r="491" ht="12" hidden="1"/>
    <row r="492" ht="12" hidden="1"/>
    <row r="493" ht="12" hidden="1"/>
    <row r="494" ht="12" hidden="1"/>
    <row r="495" ht="12" hidden="1"/>
    <row r="496" ht="12" hidden="1"/>
    <row r="497" ht="12" hidden="1"/>
    <row r="498" ht="12" hidden="1"/>
    <row r="499" ht="12" hidden="1"/>
    <row r="500" ht="12" hidden="1"/>
    <row r="501" ht="12" hidden="1"/>
    <row r="502" ht="12" hidden="1"/>
    <row r="503" ht="12" hidden="1"/>
    <row r="504" ht="12" hidden="1"/>
    <row r="505" ht="12" hidden="1"/>
    <row r="506" ht="12" hidden="1"/>
    <row r="507" ht="12" hidden="1"/>
    <row r="508" ht="12" hidden="1"/>
    <row r="509" ht="12" hidden="1"/>
    <row r="510" ht="12" hidden="1"/>
    <row r="511" ht="12" hidden="1"/>
    <row r="512" ht="12" hidden="1"/>
    <row r="513" ht="12" hidden="1"/>
    <row r="514" ht="12" hidden="1"/>
    <row r="515" ht="12" hidden="1"/>
    <row r="516" ht="12" hidden="1"/>
    <row r="517" ht="12" hidden="1"/>
    <row r="518" ht="12" hidden="1"/>
    <row r="519" ht="12" hidden="1"/>
    <row r="520" ht="12" hidden="1"/>
    <row r="521" ht="12" hidden="1"/>
    <row r="522" ht="12" hidden="1"/>
    <row r="523" ht="12" hidden="1"/>
    <row r="524" ht="12" hidden="1"/>
    <row r="525" ht="12" hidden="1"/>
    <row r="526" ht="12" hidden="1"/>
    <row r="527" ht="12" hidden="1"/>
    <row r="528" ht="12" hidden="1"/>
    <row r="529" ht="12" hidden="1"/>
    <row r="530" ht="12" hidden="1"/>
    <row r="531" ht="12" hidden="1"/>
    <row r="532" ht="12" hidden="1"/>
    <row r="533" ht="12" hidden="1"/>
    <row r="534" ht="12" hidden="1"/>
    <row r="535" ht="12" hidden="1"/>
    <row r="536" ht="12" hidden="1"/>
    <row r="537" ht="12" hidden="1"/>
    <row r="538" ht="12" hidden="1"/>
    <row r="539" ht="12" hidden="1"/>
    <row r="540" ht="12" hidden="1"/>
    <row r="541" ht="12" hidden="1"/>
    <row r="542" ht="12" hidden="1"/>
    <row r="543" ht="12" hidden="1"/>
    <row r="544" ht="12" hidden="1"/>
    <row r="545" ht="12" hidden="1"/>
    <row r="546" ht="12" hidden="1"/>
    <row r="547" ht="12" hidden="1"/>
    <row r="548" ht="12" hidden="1"/>
    <row r="549" ht="12" hidden="1"/>
    <row r="550" ht="12" hidden="1"/>
    <row r="551" ht="12" hidden="1"/>
    <row r="552" ht="12" hidden="1"/>
    <row r="553" ht="12" hidden="1"/>
    <row r="554" ht="12" hidden="1"/>
    <row r="555" ht="12" hidden="1"/>
    <row r="556" ht="12" hidden="1"/>
    <row r="557" ht="12" hidden="1"/>
    <row r="558" ht="12" hidden="1"/>
    <row r="559" ht="12" hidden="1"/>
    <row r="560" ht="12" hidden="1"/>
    <row r="561" ht="12" hidden="1"/>
    <row r="562" ht="12" hidden="1"/>
    <row r="563" ht="12" hidden="1"/>
    <row r="564" ht="12" hidden="1"/>
    <row r="565" ht="12" hidden="1"/>
    <row r="566" ht="12" hidden="1"/>
    <row r="567" ht="12" hidden="1"/>
    <row r="568" ht="12" hidden="1"/>
    <row r="569" ht="12" hidden="1"/>
    <row r="570" ht="12" hidden="1"/>
    <row r="571" ht="12" hidden="1"/>
    <row r="572" ht="12" hidden="1"/>
    <row r="573" ht="12" hidden="1"/>
    <row r="574" ht="12" hidden="1"/>
    <row r="575" ht="12" hidden="1"/>
    <row r="576" ht="12" hidden="1"/>
    <row r="577" ht="12" hidden="1"/>
    <row r="578" ht="12" hidden="1"/>
    <row r="579" ht="12" hidden="1"/>
    <row r="580" ht="12" hidden="1"/>
    <row r="581" ht="12" hidden="1"/>
    <row r="582" ht="12" hidden="1"/>
    <row r="583" ht="12" hidden="1"/>
    <row r="584" ht="12" hidden="1"/>
    <row r="585" ht="12" hidden="1"/>
    <row r="586" ht="12" hidden="1"/>
    <row r="587" ht="12" hidden="1"/>
    <row r="588" ht="12" hidden="1"/>
    <row r="589" ht="12" hidden="1"/>
    <row r="590" ht="12" hidden="1"/>
  </sheetData>
  <sheetProtection password="CC59" sheet="1" formatColumns="0" formatRows="0"/>
  <mergeCells count="6">
    <mergeCell ref="V31:Z31"/>
    <mergeCell ref="D167:N167"/>
    <mergeCell ref="F8:N8"/>
    <mergeCell ref="D7:D8"/>
    <mergeCell ref="P8:T8"/>
    <mergeCell ref="P32:T32"/>
  </mergeCells>
  <printOptions/>
  <pageMargins left="0" right="0" top="0" bottom="0" header="0.3" footer="0.3"/>
  <pageSetup horizontalDpi="600" verticalDpi="600" orientation="landscape" paperSize="5" scale="60" r:id="rId1"/>
</worksheet>
</file>

<file path=xl/worksheets/sheet14.xml><?xml version="1.0" encoding="utf-8"?>
<worksheet xmlns="http://schemas.openxmlformats.org/spreadsheetml/2006/main" xmlns:r="http://schemas.openxmlformats.org/officeDocument/2006/relationships">
  <sheetPr codeName="Sheet13">
    <pageSetUpPr fitToPage="1"/>
  </sheetPr>
  <dimension ref="A1:AJ38"/>
  <sheetViews>
    <sheetView zoomScalePageLayoutView="0" workbookViewId="0" topLeftCell="A1">
      <selection activeCell="G22" sqref="G22"/>
    </sheetView>
  </sheetViews>
  <sheetFormatPr defaultColWidth="9.140625" defaultRowHeight="12.75"/>
  <cols>
    <col min="1" max="1" width="28.28125" style="4" customWidth="1"/>
    <col min="2" max="2" width="22.140625" style="4" customWidth="1"/>
    <col min="3" max="3" width="73.421875" style="4" customWidth="1"/>
  </cols>
  <sheetData>
    <row r="1" spans="1:3" ht="15.75" thickBot="1">
      <c r="A1" s="214" t="s">
        <v>161</v>
      </c>
      <c r="B1" s="724" t="str">
        <f>Instructions!B1</f>
        <v>Chicago Preparatory Charter Middle School</v>
      </c>
      <c r="C1" s="725"/>
    </row>
    <row r="2" spans="1:3" ht="15.75" thickBot="1">
      <c r="A2" s="193"/>
      <c r="B2" s="194"/>
      <c r="C2" s="194"/>
    </row>
    <row r="3" spans="1:3" ht="12.75" thickBot="1">
      <c r="A3" s="726" t="s">
        <v>174</v>
      </c>
      <c r="B3" s="727"/>
      <c r="C3" s="728"/>
    </row>
    <row r="4" spans="1:3" ht="12">
      <c r="A4" s="195"/>
      <c r="B4" s="195"/>
      <c r="C4" s="195"/>
    </row>
    <row r="5" spans="1:3" ht="12.75" thickBot="1">
      <c r="A5" s="195"/>
      <c r="B5" s="195"/>
      <c r="C5" s="195"/>
    </row>
    <row r="6" spans="1:3" ht="15.75" thickBot="1">
      <c r="A6" s="215" t="s">
        <v>197</v>
      </c>
      <c r="B6" s="216"/>
      <c r="C6" s="217"/>
    </row>
    <row r="7" spans="1:3" ht="12.75" thickBot="1">
      <c r="A7" s="218" t="s">
        <v>222</v>
      </c>
      <c r="B7" s="216"/>
      <c r="C7" s="217"/>
    </row>
    <row r="8" spans="1:3" ht="12.75" thickBot="1">
      <c r="A8" s="196"/>
      <c r="B8" s="69"/>
      <c r="C8" s="197"/>
    </row>
    <row r="9" spans="1:3" ht="12">
      <c r="A9" s="205" t="s">
        <v>162</v>
      </c>
      <c r="B9" s="206"/>
      <c r="C9" s="207"/>
    </row>
    <row r="10" spans="1:3" ht="12.75">
      <c r="A10" s="208" t="s">
        <v>175</v>
      </c>
      <c r="B10" s="208"/>
      <c r="C10" s="209"/>
    </row>
    <row r="11" spans="1:3" ht="12">
      <c r="A11" s="208" t="s">
        <v>163</v>
      </c>
      <c r="B11" s="208"/>
      <c r="C11" s="209"/>
    </row>
    <row r="12" spans="1:3" ht="13.5" thickBot="1">
      <c r="A12" s="210" t="s">
        <v>326</v>
      </c>
      <c r="B12" s="210"/>
      <c r="C12" s="211"/>
    </row>
    <row r="13" spans="1:3" ht="12.75" thickBot="1">
      <c r="A13" s="198"/>
      <c r="B13" s="57"/>
      <c r="C13" s="199"/>
    </row>
    <row r="14" spans="1:3" ht="13.5" thickBot="1">
      <c r="A14" s="145" t="s">
        <v>167</v>
      </c>
      <c r="B14" s="57"/>
      <c r="C14" s="199"/>
    </row>
    <row r="15" spans="1:3" ht="12.75">
      <c r="A15" s="219" t="s">
        <v>22</v>
      </c>
      <c r="B15" s="233"/>
      <c r="C15" s="199"/>
    </row>
    <row r="16" spans="1:3" ht="12.75">
      <c r="A16" s="220" t="s">
        <v>164</v>
      </c>
      <c r="B16" s="234"/>
      <c r="C16" s="199"/>
    </row>
    <row r="17" spans="1:3" ht="13.5" thickBot="1">
      <c r="A17" s="221" t="s">
        <v>165</v>
      </c>
      <c r="B17" s="235"/>
      <c r="C17" s="199"/>
    </row>
    <row r="18" spans="1:3" ht="25.5" thickBot="1">
      <c r="A18" s="222" t="s">
        <v>166</v>
      </c>
      <c r="B18" s="138">
        <f>-IF(SUM(B15:B17)=0,0,PMT(B17/12,B16,B15)*12)</f>
        <v>0</v>
      </c>
      <c r="C18" s="199"/>
    </row>
    <row r="19" spans="1:3" ht="12">
      <c r="A19" s="198"/>
      <c r="B19" s="57"/>
      <c r="C19" s="199"/>
    </row>
    <row r="20" spans="1:3" ht="12">
      <c r="A20" s="231"/>
      <c r="B20" s="230"/>
      <c r="C20" s="201"/>
    </row>
    <row r="22" ht="12.75" thickBot="1"/>
    <row r="23" spans="1:3" ht="15.75" thickBot="1">
      <c r="A23" s="215" t="s">
        <v>198</v>
      </c>
      <c r="B23" s="216"/>
      <c r="C23" s="217"/>
    </row>
    <row r="24" spans="1:3" ht="12.75" thickBot="1">
      <c r="A24" s="218" t="s">
        <v>199</v>
      </c>
      <c r="B24" s="216"/>
      <c r="C24" s="217"/>
    </row>
    <row r="25" spans="1:3" ht="12.75" thickBot="1">
      <c r="A25" s="198"/>
      <c r="B25" s="69"/>
      <c r="C25" s="197"/>
    </row>
    <row r="26" spans="1:3" ht="12.75" thickBot="1">
      <c r="A26" s="212" t="s">
        <v>162</v>
      </c>
      <c r="B26" s="206"/>
      <c r="C26" s="207"/>
    </row>
    <row r="27" spans="1:36" s="511" customFormat="1" ht="12.75">
      <c r="A27" s="212" t="s">
        <v>325</v>
      </c>
      <c r="B27" s="206"/>
      <c r="C27" s="207"/>
      <c r="D27" s="515"/>
      <c r="E27" s="515"/>
      <c r="F27" s="515"/>
      <c r="G27" s="515"/>
      <c r="H27" s="515"/>
      <c r="I27" s="515"/>
      <c r="J27" s="515"/>
      <c r="K27" s="515"/>
      <c r="L27" s="515"/>
      <c r="M27" s="515"/>
      <c r="N27" s="515"/>
      <c r="O27" s="515"/>
      <c r="P27" s="515"/>
      <c r="Q27" s="515"/>
      <c r="R27" s="515"/>
      <c r="S27" s="515"/>
      <c r="T27" s="515"/>
      <c r="U27" s="515"/>
      <c r="V27" s="515"/>
      <c r="W27" s="515"/>
      <c r="X27" s="515"/>
      <c r="Y27" s="515"/>
      <c r="Z27" s="515"/>
      <c r="AA27" s="515"/>
      <c r="AB27" s="515"/>
      <c r="AC27" s="515"/>
      <c r="AD27" s="515"/>
      <c r="AE27" s="515"/>
      <c r="AF27" s="515"/>
      <c r="AG27" s="515"/>
      <c r="AH27" s="515"/>
      <c r="AI27" s="515"/>
      <c r="AJ27" s="515"/>
    </row>
    <row r="28" spans="1:36" ht="13.5" thickBot="1">
      <c r="A28" s="213" t="s">
        <v>327</v>
      </c>
      <c r="B28" s="210"/>
      <c r="C28" s="211"/>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row>
    <row r="29" spans="1:3" ht="12">
      <c r="A29" s="198"/>
      <c r="B29" s="69"/>
      <c r="C29" s="197"/>
    </row>
    <row r="30" spans="1:3" ht="12.75" thickBot="1">
      <c r="A30" s="198"/>
      <c r="B30" s="69"/>
      <c r="C30" s="197"/>
    </row>
    <row r="31" spans="1:3" ht="13.5" thickBot="1">
      <c r="A31" s="145" t="s">
        <v>170</v>
      </c>
      <c r="B31" s="69"/>
      <c r="C31" s="197"/>
    </row>
    <row r="32" spans="1:3" ht="12.75">
      <c r="A32" s="219" t="s">
        <v>22</v>
      </c>
      <c r="B32" s="233"/>
      <c r="C32" s="199"/>
    </row>
    <row r="33" spans="1:3" ht="12.75">
      <c r="A33" s="220" t="s">
        <v>164</v>
      </c>
      <c r="B33" s="234"/>
      <c r="C33" s="199"/>
    </row>
    <row r="34" spans="1:3" ht="13.5" thickBot="1">
      <c r="A34" s="221" t="s">
        <v>165</v>
      </c>
      <c r="B34" s="236"/>
      <c r="C34" s="199"/>
    </row>
    <row r="35" spans="1:3" ht="25.5" thickBot="1">
      <c r="A35" s="222" t="s">
        <v>166</v>
      </c>
      <c r="B35" s="138">
        <f>-IF(SUM(B32:B34)=0,0,PMT(B34/12,B33,B32)*12)</f>
        <v>0</v>
      </c>
      <c r="C35" s="199"/>
    </row>
    <row r="36" spans="1:3" ht="12">
      <c r="A36" s="202"/>
      <c r="B36" s="203"/>
      <c r="C36" s="204"/>
    </row>
    <row r="37" spans="1:3" ht="12">
      <c r="A37" s="200"/>
      <c r="B37" s="230"/>
      <c r="C37" s="201"/>
    </row>
    <row r="38" ht="12">
      <c r="A38" s="195"/>
    </row>
  </sheetData>
  <sheetProtection password="CC59" sheet="1"/>
  <mergeCells count="2">
    <mergeCell ref="B1:C1"/>
    <mergeCell ref="A3:C3"/>
  </mergeCells>
  <printOptions/>
  <pageMargins left="0.7" right="0.7" top="0.75" bottom="0.75" header="0.3" footer="0.3"/>
  <pageSetup fitToHeight="1" fitToWidth="1" horizontalDpi="600" verticalDpi="600" orientation="landscape" scale="98" r:id="rId1"/>
</worksheet>
</file>

<file path=xl/worksheets/sheet15.xml><?xml version="1.0" encoding="utf-8"?>
<worksheet xmlns="http://schemas.openxmlformats.org/spreadsheetml/2006/main" xmlns:r="http://schemas.openxmlformats.org/officeDocument/2006/relationships">
  <sheetPr codeName="Sheet14"/>
  <dimension ref="A1:F6"/>
  <sheetViews>
    <sheetView zoomScalePageLayoutView="0" workbookViewId="0" topLeftCell="A1">
      <selection activeCell="A10" sqref="A10"/>
    </sheetView>
  </sheetViews>
  <sheetFormatPr defaultColWidth="9.140625" defaultRowHeight="12.75"/>
  <cols>
    <col min="1" max="1" width="62.7109375" style="0" customWidth="1"/>
  </cols>
  <sheetData>
    <row r="1" spans="1:6" ht="13.5" thickBot="1">
      <c r="A1" s="297" t="str">
        <f>'Budget with Assumptions'!A2</f>
        <v>Chicago Preparatory Charter Middle School</v>
      </c>
      <c r="B1" s="184"/>
      <c r="C1" s="184"/>
      <c r="D1" s="184"/>
      <c r="E1" s="184"/>
      <c r="F1" s="139"/>
    </row>
    <row r="2" ht="12.75">
      <c r="A2" s="7"/>
    </row>
    <row r="3" ht="12">
      <c r="A3" t="str">
        <f>Instructions!B1</f>
        <v>Chicago Preparatory Charter Middle School</v>
      </c>
    </row>
    <row r="4" spans="1:6" ht="12.75">
      <c r="A4" s="6" t="s">
        <v>151</v>
      </c>
      <c r="B4" s="6"/>
      <c r="C4" s="6"/>
      <c r="D4" s="6"/>
      <c r="E4" s="6"/>
      <c r="F4" s="6"/>
    </row>
    <row r="5" spans="1:6" ht="12">
      <c r="A5" s="52"/>
      <c r="B5" s="52"/>
      <c r="C5" s="52"/>
      <c r="D5" s="52"/>
      <c r="E5" s="52"/>
      <c r="F5" s="52"/>
    </row>
    <row r="6" spans="1:6" ht="12">
      <c r="A6" s="52"/>
      <c r="B6" s="52"/>
      <c r="C6" s="52"/>
      <c r="D6" s="52"/>
      <c r="E6" s="52"/>
      <c r="F6" s="5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D29"/>
  <sheetViews>
    <sheetView zoomScalePageLayoutView="0" workbookViewId="0" topLeftCell="A16">
      <selection activeCell="A18" sqref="A18"/>
    </sheetView>
  </sheetViews>
  <sheetFormatPr defaultColWidth="8.8515625" defaultRowHeight="12.75"/>
  <cols>
    <col min="1" max="1" width="34.57421875" style="195" customWidth="1"/>
    <col min="2" max="2" width="13.28125" style="195" customWidth="1"/>
    <col min="3" max="3" width="13.00390625" style="195" customWidth="1"/>
    <col min="4" max="4" width="17.00390625" style="195" customWidth="1"/>
    <col min="5" max="16384" width="8.8515625" style="195" customWidth="1"/>
  </cols>
  <sheetData>
    <row r="1" ht="21" customHeight="1" thickBot="1">
      <c r="A1" s="383" t="str">
        <f>'Budget with Assumptions'!A2</f>
        <v>Chicago Preparatory Charter Middle School</v>
      </c>
    </row>
    <row r="7" ht="12.75" thickBot="1">
      <c r="A7" s="195" t="str">
        <f>Instructions!B1</f>
        <v>Chicago Preparatory Charter Middle School</v>
      </c>
    </row>
    <row r="8" spans="1:4" ht="15" customHeight="1" thickBot="1">
      <c r="A8" s="664" t="s">
        <v>348</v>
      </c>
      <c r="B8" s="665"/>
      <c r="C8" s="665"/>
      <c r="D8" s="666"/>
    </row>
    <row r="9" spans="1:4" ht="56.25" thickBot="1">
      <c r="A9" s="343" t="s">
        <v>228</v>
      </c>
      <c r="B9" s="343" t="s">
        <v>229</v>
      </c>
      <c r="C9" s="343" t="s">
        <v>230</v>
      </c>
      <c r="D9" s="344" t="s">
        <v>231</v>
      </c>
    </row>
    <row r="10" spans="1:4" ht="13.5">
      <c r="A10" s="388" t="s">
        <v>32</v>
      </c>
      <c r="B10" s="334"/>
      <c r="C10" s="335"/>
      <c r="D10" s="345">
        <f>B10*C10</f>
        <v>0</v>
      </c>
    </row>
    <row r="11" spans="1:4" ht="13.5">
      <c r="A11" s="388" t="s">
        <v>232</v>
      </c>
      <c r="B11" s="334"/>
      <c r="C11" s="335"/>
      <c r="D11" s="345">
        <f aca="true" t="shared" si="0" ref="D11:D25">B11*C11</f>
        <v>0</v>
      </c>
    </row>
    <row r="12" spans="1:4" ht="13.5">
      <c r="A12" s="388" t="s">
        <v>233</v>
      </c>
      <c r="B12" s="334"/>
      <c r="C12" s="335"/>
      <c r="D12" s="345">
        <f t="shared" si="0"/>
        <v>0</v>
      </c>
    </row>
    <row r="13" spans="1:4" ht="13.5">
      <c r="A13" s="389" t="s">
        <v>22</v>
      </c>
      <c r="B13" s="334"/>
      <c r="C13" s="335"/>
      <c r="D13" s="345">
        <f t="shared" si="0"/>
        <v>0</v>
      </c>
    </row>
    <row r="14" spans="1:4" ht="13.5">
      <c r="A14" s="389" t="s">
        <v>23</v>
      </c>
      <c r="B14" s="334"/>
      <c r="C14" s="336"/>
      <c r="D14" s="345">
        <f t="shared" si="0"/>
        <v>0</v>
      </c>
    </row>
    <row r="15" spans="1:4" ht="13.5">
      <c r="A15" s="389" t="s">
        <v>45</v>
      </c>
      <c r="B15" s="334"/>
      <c r="C15" s="337"/>
      <c r="D15" s="345">
        <f t="shared" si="0"/>
        <v>0</v>
      </c>
    </row>
    <row r="16" spans="1:4" ht="13.5">
      <c r="A16" s="338" t="s">
        <v>389</v>
      </c>
      <c r="B16" s="334">
        <v>0.6</v>
      </c>
      <c r="C16" s="337">
        <v>100000</v>
      </c>
      <c r="D16" s="345">
        <f t="shared" si="0"/>
        <v>60000</v>
      </c>
    </row>
    <row r="17" spans="1:4" ht="13.5">
      <c r="A17" s="331" t="s">
        <v>415</v>
      </c>
      <c r="B17" s="334">
        <v>0.5</v>
      </c>
      <c r="C17" s="337">
        <v>45000</v>
      </c>
      <c r="D17" s="345">
        <f t="shared" si="0"/>
        <v>22500</v>
      </c>
    </row>
    <row r="18" spans="1:4" ht="13.5">
      <c r="A18" s="339"/>
      <c r="B18" s="334"/>
      <c r="C18" s="337"/>
      <c r="D18" s="345">
        <f t="shared" si="0"/>
        <v>0</v>
      </c>
    </row>
    <row r="19" spans="1:4" ht="13.5">
      <c r="A19" s="339"/>
      <c r="B19" s="334"/>
      <c r="C19" s="337"/>
      <c r="D19" s="345">
        <f t="shared" si="0"/>
        <v>0</v>
      </c>
    </row>
    <row r="20" spans="1:4" ht="13.5">
      <c r="A20" s="339"/>
      <c r="B20" s="334"/>
      <c r="C20" s="337"/>
      <c r="D20" s="345">
        <f t="shared" si="0"/>
        <v>0</v>
      </c>
    </row>
    <row r="21" spans="1:4" ht="13.5">
      <c r="A21" s="340"/>
      <c r="B21" s="341"/>
      <c r="C21" s="342"/>
      <c r="D21" s="345">
        <f t="shared" si="0"/>
        <v>0</v>
      </c>
    </row>
    <row r="22" spans="1:4" ht="13.5">
      <c r="A22" s="340"/>
      <c r="B22" s="341"/>
      <c r="C22" s="342"/>
      <c r="D22" s="345">
        <f t="shared" si="0"/>
        <v>0</v>
      </c>
    </row>
    <row r="23" spans="1:4" ht="13.5">
      <c r="A23" s="340"/>
      <c r="B23" s="341"/>
      <c r="C23" s="342"/>
      <c r="D23" s="345">
        <f t="shared" si="0"/>
        <v>0</v>
      </c>
    </row>
    <row r="24" spans="1:4" ht="13.5">
      <c r="A24" s="340"/>
      <c r="B24" s="341"/>
      <c r="C24" s="342"/>
      <c r="D24" s="345">
        <f t="shared" si="0"/>
        <v>0</v>
      </c>
    </row>
    <row r="25" spans="1:4" ht="14.25" thickBot="1">
      <c r="A25" s="340"/>
      <c r="B25" s="341"/>
      <c r="C25" s="342"/>
      <c r="D25" s="345">
        <f t="shared" si="0"/>
        <v>0</v>
      </c>
    </row>
    <row r="26" spans="1:4" ht="14.25" thickBot="1">
      <c r="A26" s="347" t="s">
        <v>234</v>
      </c>
      <c r="B26" s="347">
        <f>SUM(B10:B25)</f>
        <v>1.1</v>
      </c>
      <c r="C26" s="348"/>
      <c r="D26" s="346">
        <f>SUM(D10:D25)</f>
        <v>82500</v>
      </c>
    </row>
    <row r="27" spans="1:4" ht="12.75" thickBot="1">
      <c r="A27" s="374"/>
      <c r="B27" s="374"/>
      <c r="C27" s="374"/>
      <c r="D27" s="374"/>
    </row>
    <row r="28" spans="1:4" ht="15" thickBot="1">
      <c r="A28" s="667" t="s">
        <v>235</v>
      </c>
      <c r="B28" s="668"/>
      <c r="C28" s="669"/>
      <c r="D28" s="349">
        <f>D26*0.062</f>
        <v>5115</v>
      </c>
    </row>
    <row r="29" spans="1:4" ht="15" thickBot="1">
      <c r="A29" s="667" t="s">
        <v>236</v>
      </c>
      <c r="B29" s="668"/>
      <c r="C29" s="669"/>
      <c r="D29" s="349">
        <f>D26*0.0145</f>
        <v>1196.25</v>
      </c>
    </row>
  </sheetData>
  <sheetProtection password="CC59" sheet="1" formatColumns="0" formatRows="0" insertColumns="0" insertRows="0"/>
  <mergeCells count="3">
    <mergeCell ref="A8:D8"/>
    <mergeCell ref="A28:C28"/>
    <mergeCell ref="A29:C29"/>
  </mergeCells>
  <dataValidations count="1">
    <dataValidation allowBlank="1" showInputMessage="1" showErrorMessage="1" prompt="You may change any of the job titles." sqref="A17 A13:A15"/>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G74"/>
  <sheetViews>
    <sheetView zoomScalePageLayoutView="0" workbookViewId="0" topLeftCell="A16">
      <selection activeCell="C37" sqref="C37"/>
    </sheetView>
  </sheetViews>
  <sheetFormatPr defaultColWidth="8.8515625" defaultRowHeight="12.75"/>
  <cols>
    <col min="1" max="1" width="60.57421875" style="195" customWidth="1"/>
    <col min="2" max="2" width="20.140625" style="195" bestFit="1" customWidth="1"/>
    <col min="3" max="3" width="11.57421875" style="195" customWidth="1"/>
    <col min="4" max="4" width="15.57421875" style="195" customWidth="1"/>
    <col min="5" max="5" width="16.8515625" style="195" customWidth="1"/>
    <col min="6" max="6" width="17.421875" style="195" customWidth="1"/>
    <col min="7" max="7" width="14.421875" style="195" customWidth="1"/>
    <col min="8" max="16384" width="8.8515625" style="195" customWidth="1"/>
  </cols>
  <sheetData>
    <row r="1" ht="13.5" thickBot="1">
      <c r="A1" s="383" t="str">
        <f>'Budget with Assumptions'!A2</f>
        <v>Chicago Preparatory Charter Middle School</v>
      </c>
    </row>
    <row r="8" ht="12.75" thickBot="1">
      <c r="A8" s="195" t="str">
        <f>Instructions!B1</f>
        <v>Chicago Preparatory Charter Middle School</v>
      </c>
    </row>
    <row r="9" spans="1:7" ht="14.25" thickBot="1">
      <c r="A9" s="673" t="s">
        <v>349</v>
      </c>
      <c r="B9" s="674"/>
      <c r="C9" s="674"/>
      <c r="D9" s="675"/>
      <c r="E9" s="374"/>
      <c r="F9" s="374"/>
      <c r="G9" s="374"/>
    </row>
    <row r="10" spans="1:7" ht="14.25" thickBot="1">
      <c r="A10" s="676" t="s">
        <v>237</v>
      </c>
      <c r="B10" s="677"/>
      <c r="C10" s="677"/>
      <c r="D10" s="678"/>
      <c r="E10" s="374"/>
      <c r="F10" s="374"/>
      <c r="G10" s="374"/>
    </row>
    <row r="11" spans="1:7" ht="70.5" thickBot="1">
      <c r="A11" s="353" t="s">
        <v>228</v>
      </c>
      <c r="B11" s="353" t="s">
        <v>229</v>
      </c>
      <c r="C11" s="353" t="s">
        <v>230</v>
      </c>
      <c r="D11" s="354" t="s">
        <v>231</v>
      </c>
      <c r="E11" s="332" t="s">
        <v>238</v>
      </c>
      <c r="F11" s="332" t="s">
        <v>239</v>
      </c>
      <c r="G11" s="332" t="s">
        <v>240</v>
      </c>
    </row>
    <row r="12" spans="1:7" ht="15.75" thickBot="1">
      <c r="A12" s="670"/>
      <c r="B12" s="671"/>
      <c r="C12" s="671"/>
      <c r="D12" s="672"/>
      <c r="E12" s="504">
        <v>0</v>
      </c>
      <c r="F12" s="355">
        <v>0.1116</v>
      </c>
      <c r="G12" s="356">
        <v>0.0145</v>
      </c>
    </row>
    <row r="13" spans="1:7" ht="13.5">
      <c r="A13" s="505" t="s">
        <v>389</v>
      </c>
      <c r="B13" s="350">
        <v>1</v>
      </c>
      <c r="C13" s="335">
        <v>75000</v>
      </c>
      <c r="D13" s="345">
        <f>B13*C13</f>
        <v>75000</v>
      </c>
      <c r="E13" s="357">
        <f>D13*$E$12</f>
        <v>0</v>
      </c>
      <c r="F13" s="358">
        <f>D13*$F$12</f>
        <v>8370</v>
      </c>
      <c r="G13" s="357">
        <f>D13*$G$12</f>
        <v>1087.5</v>
      </c>
    </row>
    <row r="14" spans="1:7" ht="13.5">
      <c r="A14" s="572"/>
      <c r="B14" s="573"/>
      <c r="C14" s="335"/>
      <c r="D14" s="345">
        <f>B14*C14</f>
        <v>0</v>
      </c>
      <c r="E14" s="357">
        <f>D14*$E$12</f>
        <v>0</v>
      </c>
      <c r="F14" s="358">
        <f>D14*$F$12</f>
        <v>0</v>
      </c>
      <c r="G14" s="357">
        <f>D14*$G$12</f>
        <v>0</v>
      </c>
    </row>
    <row r="15" spans="1:7" ht="13.5">
      <c r="A15" s="572" t="s">
        <v>391</v>
      </c>
      <c r="B15" s="574">
        <v>0.5</v>
      </c>
      <c r="C15" s="335">
        <v>60000</v>
      </c>
      <c r="D15" s="345">
        <f aca="true" t="shared" si="0" ref="D15:D27">B15*C15</f>
        <v>30000</v>
      </c>
      <c r="E15" s="357">
        <f aca="true" t="shared" si="1" ref="E15:E27">D15*$E$12</f>
        <v>0</v>
      </c>
      <c r="F15" s="358">
        <f aca="true" t="shared" si="2" ref="F15:F27">D15*$F$12</f>
        <v>3348</v>
      </c>
      <c r="G15" s="357">
        <f aca="true" t="shared" si="3" ref="G15:G27">D15*$G$12</f>
        <v>435</v>
      </c>
    </row>
    <row r="16" spans="1:7" ht="13.5">
      <c r="A16" s="330" t="s">
        <v>392</v>
      </c>
      <c r="B16" s="351">
        <v>0.5</v>
      </c>
      <c r="C16" s="335">
        <v>55000</v>
      </c>
      <c r="D16" s="345">
        <f t="shared" si="0"/>
        <v>27500</v>
      </c>
      <c r="E16" s="357">
        <f t="shared" si="1"/>
        <v>0</v>
      </c>
      <c r="F16" s="358">
        <f t="shared" si="2"/>
        <v>3069</v>
      </c>
      <c r="G16" s="357">
        <f t="shared" si="3"/>
        <v>398.75</v>
      </c>
    </row>
    <row r="17" spans="1:7" ht="13.5">
      <c r="A17" s="330" t="s">
        <v>32</v>
      </c>
      <c r="B17" s="351">
        <v>4</v>
      </c>
      <c r="C17" s="335">
        <v>54000</v>
      </c>
      <c r="D17" s="345">
        <f t="shared" si="0"/>
        <v>216000</v>
      </c>
      <c r="E17" s="357">
        <f t="shared" si="1"/>
        <v>0</v>
      </c>
      <c r="F17" s="358">
        <f t="shared" si="2"/>
        <v>24105.600000000002</v>
      </c>
      <c r="G17" s="357">
        <f t="shared" si="3"/>
        <v>3132</v>
      </c>
    </row>
    <row r="18" spans="1:7" ht="13.5">
      <c r="A18" s="330" t="s">
        <v>38</v>
      </c>
      <c r="B18" s="351"/>
      <c r="C18" s="336"/>
      <c r="D18" s="345">
        <f t="shared" si="0"/>
        <v>0</v>
      </c>
      <c r="E18" s="357">
        <f t="shared" si="1"/>
        <v>0</v>
      </c>
      <c r="F18" s="358">
        <f t="shared" si="2"/>
        <v>0</v>
      </c>
      <c r="G18" s="357">
        <f t="shared" si="3"/>
        <v>0</v>
      </c>
    </row>
    <row r="19" spans="1:7" ht="13.5">
      <c r="A19" s="330"/>
      <c r="B19" s="351"/>
      <c r="C19" s="337"/>
      <c r="D19" s="345">
        <f t="shared" si="0"/>
        <v>0</v>
      </c>
      <c r="E19" s="357">
        <f t="shared" si="1"/>
        <v>0</v>
      </c>
      <c r="F19" s="358">
        <f t="shared" si="2"/>
        <v>0</v>
      </c>
      <c r="G19" s="357">
        <f t="shared" si="3"/>
        <v>0</v>
      </c>
    </row>
    <row r="20" spans="1:7" ht="13.5">
      <c r="A20" s="330"/>
      <c r="B20" s="351"/>
      <c r="C20" s="337"/>
      <c r="D20" s="345">
        <f t="shared" si="0"/>
        <v>0</v>
      </c>
      <c r="E20" s="357">
        <f t="shared" si="1"/>
        <v>0</v>
      </c>
      <c r="F20" s="358">
        <f t="shared" si="2"/>
        <v>0</v>
      </c>
      <c r="G20" s="357">
        <f t="shared" si="3"/>
        <v>0</v>
      </c>
    </row>
    <row r="21" spans="1:7" ht="13.5">
      <c r="A21" s="330"/>
      <c r="B21" s="351"/>
      <c r="C21" s="337"/>
      <c r="D21" s="345">
        <f t="shared" si="0"/>
        <v>0</v>
      </c>
      <c r="E21" s="357">
        <f t="shared" si="1"/>
        <v>0</v>
      </c>
      <c r="F21" s="358">
        <f t="shared" si="2"/>
        <v>0</v>
      </c>
      <c r="G21" s="357">
        <f t="shared" si="3"/>
        <v>0</v>
      </c>
    </row>
    <row r="22" spans="1:7" ht="13.5">
      <c r="A22" s="330"/>
      <c r="B22" s="351"/>
      <c r="C22" s="337"/>
      <c r="D22" s="345">
        <f t="shared" si="0"/>
        <v>0</v>
      </c>
      <c r="E22" s="357">
        <f t="shared" si="1"/>
        <v>0</v>
      </c>
      <c r="F22" s="358">
        <f t="shared" si="2"/>
        <v>0</v>
      </c>
      <c r="G22" s="357">
        <f t="shared" si="3"/>
        <v>0</v>
      </c>
    </row>
    <row r="23" spans="1:7" ht="13.5">
      <c r="A23" s="330"/>
      <c r="B23" s="351"/>
      <c r="C23" s="337"/>
      <c r="D23" s="345">
        <f t="shared" si="0"/>
        <v>0</v>
      </c>
      <c r="E23" s="357">
        <f t="shared" si="1"/>
        <v>0</v>
      </c>
      <c r="F23" s="358">
        <f t="shared" si="2"/>
        <v>0</v>
      </c>
      <c r="G23" s="357">
        <f t="shared" si="3"/>
        <v>0</v>
      </c>
    </row>
    <row r="24" spans="1:7" ht="13.5">
      <c r="A24" s="330"/>
      <c r="B24" s="351"/>
      <c r="C24" s="337"/>
      <c r="D24" s="345">
        <f t="shared" si="0"/>
        <v>0</v>
      </c>
      <c r="E24" s="357">
        <f t="shared" si="1"/>
        <v>0</v>
      </c>
      <c r="F24" s="358">
        <f t="shared" si="2"/>
        <v>0</v>
      </c>
      <c r="G24" s="357">
        <f t="shared" si="3"/>
        <v>0</v>
      </c>
    </row>
    <row r="25" spans="1:7" ht="13.5">
      <c r="A25" s="330"/>
      <c r="B25" s="351"/>
      <c r="C25" s="337"/>
      <c r="D25" s="345">
        <f t="shared" si="0"/>
        <v>0</v>
      </c>
      <c r="E25" s="357">
        <f t="shared" si="1"/>
        <v>0</v>
      </c>
      <c r="F25" s="358">
        <f t="shared" si="2"/>
        <v>0</v>
      </c>
      <c r="G25" s="357">
        <f t="shared" si="3"/>
        <v>0</v>
      </c>
    </row>
    <row r="26" spans="1:7" ht="13.5">
      <c r="A26" s="330"/>
      <c r="B26" s="351"/>
      <c r="C26" s="337"/>
      <c r="D26" s="345">
        <f t="shared" si="0"/>
        <v>0</v>
      </c>
      <c r="E26" s="357">
        <f t="shared" si="1"/>
        <v>0</v>
      </c>
      <c r="F26" s="358">
        <f t="shared" si="2"/>
        <v>0</v>
      </c>
      <c r="G26" s="357">
        <f t="shared" si="3"/>
        <v>0</v>
      </c>
    </row>
    <row r="27" spans="1:7" ht="14.25" thickBot="1">
      <c r="A27" s="339"/>
      <c r="B27" s="351"/>
      <c r="C27" s="337"/>
      <c r="D27" s="345">
        <f t="shared" si="0"/>
        <v>0</v>
      </c>
      <c r="E27" s="357">
        <f t="shared" si="1"/>
        <v>0</v>
      </c>
      <c r="F27" s="359">
        <f t="shared" si="2"/>
        <v>0</v>
      </c>
      <c r="G27" s="357">
        <f t="shared" si="3"/>
        <v>0</v>
      </c>
    </row>
    <row r="28" spans="1:7" ht="27" customHeight="1" thickBot="1">
      <c r="A28" s="360" t="s">
        <v>241</v>
      </c>
      <c r="B28" s="361">
        <f>SUM(B13:B27)</f>
        <v>6</v>
      </c>
      <c r="C28" s="348"/>
      <c r="D28" s="349">
        <f>SUM(D13:D27)</f>
        <v>348500</v>
      </c>
      <c r="E28" s="349">
        <f>SUM(E13:E27)</f>
        <v>0</v>
      </c>
      <c r="F28" s="349">
        <f>SUM(F13:F27)</f>
        <v>38892.600000000006</v>
      </c>
      <c r="G28" s="349">
        <f>SUM(G13:G27)</f>
        <v>5053.25</v>
      </c>
    </row>
    <row r="29" spans="1:7" ht="12">
      <c r="A29" s="679"/>
      <c r="B29" s="679"/>
      <c r="C29" s="679"/>
      <c r="D29" s="391"/>
      <c r="E29" s="374"/>
      <c r="F29" s="374"/>
      <c r="G29" s="374"/>
    </row>
    <row r="30" spans="1:7" ht="12.75" thickBot="1">
      <c r="A30" s="390"/>
      <c r="B30" s="390"/>
      <c r="C30" s="390"/>
      <c r="D30" s="391"/>
      <c r="E30" s="374"/>
      <c r="F30" s="374"/>
      <c r="G30" s="374"/>
    </row>
    <row r="31" spans="1:7" ht="14.25" thickBot="1">
      <c r="A31" s="673" t="s">
        <v>350</v>
      </c>
      <c r="B31" s="674"/>
      <c r="C31" s="674"/>
      <c r="D31" s="675"/>
      <c r="E31" s="374"/>
      <c r="F31" s="374"/>
      <c r="G31" s="374"/>
    </row>
    <row r="32" spans="1:7" ht="42" thickBot="1">
      <c r="A32" s="676" t="s">
        <v>242</v>
      </c>
      <c r="B32" s="677"/>
      <c r="C32" s="677"/>
      <c r="D32" s="678"/>
      <c r="E32" s="332" t="s">
        <v>243</v>
      </c>
      <c r="F32" s="332" t="s">
        <v>240</v>
      </c>
      <c r="G32" s="374"/>
    </row>
    <row r="33" spans="1:7" ht="15.75" thickBot="1">
      <c r="A33" s="670"/>
      <c r="B33" s="671"/>
      <c r="C33" s="671"/>
      <c r="D33" s="672"/>
      <c r="E33" s="356">
        <v>0.062</v>
      </c>
      <c r="F33" s="356">
        <v>0.0145</v>
      </c>
      <c r="G33" s="374"/>
    </row>
    <row r="34" spans="1:7" ht="13.5">
      <c r="A34" s="505" t="s">
        <v>415</v>
      </c>
      <c r="B34" s="350">
        <v>1</v>
      </c>
      <c r="C34" s="335">
        <v>45000</v>
      </c>
      <c r="D34" s="345">
        <f>B34*C34</f>
        <v>45000</v>
      </c>
      <c r="E34" s="357">
        <f>D34*$E$33</f>
        <v>2790</v>
      </c>
      <c r="F34" s="357">
        <f>D34*$F$33</f>
        <v>652.5</v>
      </c>
      <c r="G34" s="374"/>
    </row>
    <row r="35" spans="1:7" ht="13.5">
      <c r="A35" s="505" t="s">
        <v>32</v>
      </c>
      <c r="B35" s="350">
        <v>1</v>
      </c>
      <c r="C35" s="335">
        <v>54000</v>
      </c>
      <c r="D35" s="345">
        <f>B35*C35</f>
        <v>54000</v>
      </c>
      <c r="E35" s="357">
        <f>D35*$E$33</f>
        <v>3348</v>
      </c>
      <c r="F35" s="357">
        <f>D35*$F$33</f>
        <v>783</v>
      </c>
      <c r="G35" s="374"/>
    </row>
    <row r="36" spans="1:7" ht="13.5">
      <c r="A36" s="505" t="s">
        <v>393</v>
      </c>
      <c r="B36" s="351">
        <v>1</v>
      </c>
      <c r="C36" s="335">
        <v>40000</v>
      </c>
      <c r="D36" s="345">
        <f aca="true" t="shared" si="4" ref="D36:D56">B36*C36</f>
        <v>40000</v>
      </c>
      <c r="E36" s="362">
        <f aca="true" t="shared" si="5" ref="E36:E56">D36*$E$33</f>
        <v>2480</v>
      </c>
      <c r="F36" s="362">
        <f aca="true" t="shared" si="6" ref="F36:F56">D36*$F$33</f>
        <v>580</v>
      </c>
      <c r="G36" s="374"/>
    </row>
    <row r="37" spans="1:7" ht="13.5">
      <c r="A37" s="505"/>
      <c r="B37" s="351"/>
      <c r="C37" s="335"/>
      <c r="D37" s="345">
        <f t="shared" si="4"/>
        <v>0</v>
      </c>
      <c r="E37" s="362">
        <f t="shared" si="5"/>
        <v>0</v>
      </c>
      <c r="F37" s="362">
        <f t="shared" si="6"/>
        <v>0</v>
      </c>
      <c r="G37" s="374"/>
    </row>
    <row r="38" spans="1:7" ht="13.5">
      <c r="A38" s="505"/>
      <c r="B38" s="351"/>
      <c r="C38" s="335"/>
      <c r="D38" s="345">
        <f t="shared" si="4"/>
        <v>0</v>
      </c>
      <c r="E38" s="362">
        <f t="shared" si="5"/>
        <v>0</v>
      </c>
      <c r="F38" s="362">
        <f t="shared" si="6"/>
        <v>0</v>
      </c>
      <c r="G38" s="374"/>
    </row>
    <row r="39" spans="1:7" ht="13.5">
      <c r="A39" s="330"/>
      <c r="B39" s="351"/>
      <c r="C39" s="336"/>
      <c r="D39" s="345">
        <f t="shared" si="4"/>
        <v>0</v>
      </c>
      <c r="E39" s="362">
        <f t="shared" si="5"/>
        <v>0</v>
      </c>
      <c r="F39" s="362">
        <f t="shared" si="6"/>
        <v>0</v>
      </c>
      <c r="G39" s="374"/>
    </row>
    <row r="40" spans="1:7" ht="13.5">
      <c r="A40" s="330"/>
      <c r="B40" s="351"/>
      <c r="C40" s="337"/>
      <c r="D40" s="345">
        <f t="shared" si="4"/>
        <v>0</v>
      </c>
      <c r="E40" s="362">
        <f t="shared" si="5"/>
        <v>0</v>
      </c>
      <c r="F40" s="362">
        <f t="shared" si="6"/>
        <v>0</v>
      </c>
      <c r="G40" s="374"/>
    </row>
    <row r="41" spans="1:7" ht="13.5">
      <c r="A41" s="330"/>
      <c r="B41" s="351"/>
      <c r="C41" s="337"/>
      <c r="D41" s="345">
        <f t="shared" si="4"/>
        <v>0</v>
      </c>
      <c r="E41" s="362">
        <f t="shared" si="5"/>
        <v>0</v>
      </c>
      <c r="F41" s="362">
        <f t="shared" si="6"/>
        <v>0</v>
      </c>
      <c r="G41" s="374"/>
    </row>
    <row r="42" spans="1:7" ht="13.5">
      <c r="A42" s="330"/>
      <c r="B42" s="351"/>
      <c r="C42" s="337"/>
      <c r="D42" s="345">
        <f t="shared" si="4"/>
        <v>0</v>
      </c>
      <c r="E42" s="362">
        <f t="shared" si="5"/>
        <v>0</v>
      </c>
      <c r="F42" s="362">
        <f t="shared" si="6"/>
        <v>0</v>
      </c>
      <c r="G42" s="374"/>
    </row>
    <row r="43" spans="1:7" ht="13.5">
      <c r="A43" s="330"/>
      <c r="B43" s="351"/>
      <c r="C43" s="337"/>
      <c r="D43" s="345">
        <f t="shared" si="4"/>
        <v>0</v>
      </c>
      <c r="E43" s="362">
        <f t="shared" si="5"/>
        <v>0</v>
      </c>
      <c r="F43" s="362">
        <f t="shared" si="6"/>
        <v>0</v>
      </c>
      <c r="G43" s="374"/>
    </row>
    <row r="44" spans="1:7" ht="13.5">
      <c r="A44" s="330"/>
      <c r="B44" s="351"/>
      <c r="C44" s="337"/>
      <c r="D44" s="345">
        <f t="shared" si="4"/>
        <v>0</v>
      </c>
      <c r="E44" s="362">
        <f t="shared" si="5"/>
        <v>0</v>
      </c>
      <c r="F44" s="362">
        <f t="shared" si="6"/>
        <v>0</v>
      </c>
      <c r="G44" s="374"/>
    </row>
    <row r="45" spans="1:7" ht="13.5">
      <c r="A45" s="330"/>
      <c r="B45" s="351"/>
      <c r="C45" s="337"/>
      <c r="D45" s="345">
        <f t="shared" si="4"/>
        <v>0</v>
      </c>
      <c r="E45" s="362">
        <f t="shared" si="5"/>
        <v>0</v>
      </c>
      <c r="F45" s="362">
        <f t="shared" si="6"/>
        <v>0</v>
      </c>
      <c r="G45" s="374"/>
    </row>
    <row r="46" spans="1:7" ht="13.5">
      <c r="A46" s="330"/>
      <c r="B46" s="351"/>
      <c r="C46" s="337"/>
      <c r="D46" s="345">
        <f t="shared" si="4"/>
        <v>0</v>
      </c>
      <c r="E46" s="362">
        <f t="shared" si="5"/>
        <v>0</v>
      </c>
      <c r="F46" s="362">
        <f t="shared" si="6"/>
        <v>0</v>
      </c>
      <c r="G46" s="374"/>
    </row>
    <row r="47" spans="1:7" ht="13.5">
      <c r="A47" s="331"/>
      <c r="B47" s="351"/>
      <c r="C47" s="337"/>
      <c r="D47" s="345">
        <f t="shared" si="4"/>
        <v>0</v>
      </c>
      <c r="E47" s="362">
        <f t="shared" si="5"/>
        <v>0</v>
      </c>
      <c r="F47" s="362">
        <f t="shared" si="6"/>
        <v>0</v>
      </c>
      <c r="G47" s="374"/>
    </row>
    <row r="48" spans="1:7" ht="13.5">
      <c r="A48" s="331"/>
      <c r="B48" s="351"/>
      <c r="C48" s="337"/>
      <c r="D48" s="345">
        <f t="shared" si="4"/>
        <v>0</v>
      </c>
      <c r="E48" s="362">
        <f t="shared" si="5"/>
        <v>0</v>
      </c>
      <c r="F48" s="362">
        <f t="shared" si="6"/>
        <v>0</v>
      </c>
      <c r="G48" s="374"/>
    </row>
    <row r="49" spans="1:7" ht="13.5">
      <c r="A49" s="331"/>
      <c r="B49" s="352"/>
      <c r="C49" s="337"/>
      <c r="D49" s="345">
        <f t="shared" si="4"/>
        <v>0</v>
      </c>
      <c r="E49" s="362">
        <f t="shared" si="5"/>
        <v>0</v>
      </c>
      <c r="F49" s="362">
        <f t="shared" si="6"/>
        <v>0</v>
      </c>
      <c r="G49" s="374"/>
    </row>
    <row r="50" spans="1:7" ht="13.5">
      <c r="A50" s="331"/>
      <c r="B50" s="352"/>
      <c r="C50" s="337"/>
      <c r="D50" s="345">
        <f t="shared" si="4"/>
        <v>0</v>
      </c>
      <c r="E50" s="362">
        <f t="shared" si="5"/>
        <v>0</v>
      </c>
      <c r="F50" s="362">
        <f t="shared" si="6"/>
        <v>0</v>
      </c>
      <c r="G50" s="374"/>
    </row>
    <row r="51" spans="1:7" ht="13.5">
      <c r="A51" s="331"/>
      <c r="B51" s="352"/>
      <c r="C51" s="337"/>
      <c r="D51" s="345">
        <f t="shared" si="4"/>
        <v>0</v>
      </c>
      <c r="E51" s="362">
        <f t="shared" si="5"/>
        <v>0</v>
      </c>
      <c r="F51" s="362">
        <f t="shared" si="6"/>
        <v>0</v>
      </c>
      <c r="G51" s="374"/>
    </row>
    <row r="52" spans="1:7" ht="13.5">
      <c r="A52" s="331"/>
      <c r="B52" s="352"/>
      <c r="C52" s="337"/>
      <c r="D52" s="345">
        <f t="shared" si="4"/>
        <v>0</v>
      </c>
      <c r="E52" s="362">
        <f t="shared" si="5"/>
        <v>0</v>
      </c>
      <c r="F52" s="362">
        <f t="shared" si="6"/>
        <v>0</v>
      </c>
      <c r="G52" s="374"/>
    </row>
    <row r="53" spans="1:7" ht="13.5">
      <c r="A53" s="331"/>
      <c r="B53" s="352"/>
      <c r="C53" s="337"/>
      <c r="D53" s="345">
        <f t="shared" si="4"/>
        <v>0</v>
      </c>
      <c r="E53" s="362">
        <f t="shared" si="5"/>
        <v>0</v>
      </c>
      <c r="F53" s="362">
        <f t="shared" si="6"/>
        <v>0</v>
      </c>
      <c r="G53" s="374"/>
    </row>
    <row r="54" spans="1:7" ht="13.5">
      <c r="A54" s="331"/>
      <c r="B54" s="352"/>
      <c r="C54" s="337"/>
      <c r="D54" s="345">
        <f t="shared" si="4"/>
        <v>0</v>
      </c>
      <c r="E54" s="362">
        <f t="shared" si="5"/>
        <v>0</v>
      </c>
      <c r="F54" s="362">
        <f t="shared" si="6"/>
        <v>0</v>
      </c>
      <c r="G54" s="374"/>
    </row>
    <row r="55" spans="1:7" ht="13.5">
      <c r="A55" s="331"/>
      <c r="B55" s="352"/>
      <c r="C55" s="337"/>
      <c r="D55" s="345">
        <f t="shared" si="4"/>
        <v>0</v>
      </c>
      <c r="E55" s="362">
        <f t="shared" si="5"/>
        <v>0</v>
      </c>
      <c r="F55" s="362">
        <f t="shared" si="6"/>
        <v>0</v>
      </c>
      <c r="G55" s="374"/>
    </row>
    <row r="56" spans="1:7" ht="14.25" thickBot="1">
      <c r="A56" s="333"/>
      <c r="B56" s="352"/>
      <c r="C56" s="337"/>
      <c r="D56" s="345">
        <f t="shared" si="4"/>
        <v>0</v>
      </c>
      <c r="E56" s="362">
        <f t="shared" si="5"/>
        <v>0</v>
      </c>
      <c r="F56" s="362">
        <f t="shared" si="6"/>
        <v>0</v>
      </c>
      <c r="G56" s="374"/>
    </row>
    <row r="57" spans="1:7" ht="15" thickBot="1">
      <c r="A57" s="360" t="s">
        <v>241</v>
      </c>
      <c r="B57" s="363">
        <f>SUM(B34:B56)</f>
        <v>3</v>
      </c>
      <c r="C57" s="364"/>
      <c r="D57" s="349">
        <f>SUM(D34:D56)</f>
        <v>139000</v>
      </c>
      <c r="E57" s="349">
        <f>SUM(E34:E56)</f>
        <v>8618</v>
      </c>
      <c r="F57" s="349">
        <f>SUM(F34:F56)</f>
        <v>2015.5</v>
      </c>
      <c r="G57" s="374"/>
    </row>
    <row r="58" spans="1:7" ht="12.75" thickBot="1">
      <c r="A58" s="374"/>
      <c r="B58" s="374"/>
      <c r="C58" s="374"/>
      <c r="D58" s="374"/>
      <c r="E58" s="374"/>
      <c r="F58" s="374"/>
      <c r="G58" s="374"/>
    </row>
    <row r="59" spans="1:7" ht="15" thickBot="1">
      <c r="A59" s="365" t="s">
        <v>6</v>
      </c>
      <c r="B59" s="366" t="s">
        <v>47</v>
      </c>
      <c r="C59" s="374"/>
      <c r="D59" s="374"/>
      <c r="E59" s="374"/>
      <c r="F59" s="374"/>
      <c r="G59" s="374"/>
    </row>
    <row r="60" spans="1:7" ht="15" thickBot="1">
      <c r="A60" s="367" t="s">
        <v>244</v>
      </c>
      <c r="B60" s="349">
        <f>D28</f>
        <v>348500</v>
      </c>
      <c r="C60" s="374"/>
      <c r="D60" s="374"/>
      <c r="E60" s="374"/>
      <c r="F60" s="374"/>
      <c r="G60" s="374"/>
    </row>
    <row r="61" spans="1:7" ht="15" thickBot="1">
      <c r="A61" s="368" t="s">
        <v>245</v>
      </c>
      <c r="B61" s="349">
        <f>D57</f>
        <v>139000</v>
      </c>
      <c r="C61" s="374"/>
      <c r="D61" s="374"/>
      <c r="E61" s="374"/>
      <c r="F61" s="374"/>
      <c r="G61" s="374"/>
    </row>
    <row r="62" spans="1:7" ht="15" thickBot="1">
      <c r="A62" s="369" t="s">
        <v>246</v>
      </c>
      <c r="B62" s="349">
        <f>SUM(B60:B61)</f>
        <v>487500</v>
      </c>
      <c r="C62" s="374"/>
      <c r="D62" s="374"/>
      <c r="E62" s="374"/>
      <c r="F62" s="374"/>
      <c r="G62" s="374"/>
    </row>
    <row r="63" spans="1:7" ht="12">
      <c r="A63" s="374"/>
      <c r="B63" s="374"/>
      <c r="C63" s="374"/>
      <c r="D63" s="374"/>
      <c r="E63" s="374"/>
      <c r="F63" s="374"/>
      <c r="G63" s="374"/>
    </row>
    <row r="64" spans="1:7" ht="12.75" thickBot="1">
      <c r="A64" s="374"/>
      <c r="B64" s="374"/>
      <c r="C64" s="374"/>
      <c r="D64" s="374"/>
      <c r="E64" s="374"/>
      <c r="F64" s="374"/>
      <c r="G64" s="374"/>
    </row>
    <row r="65" spans="1:2" ht="15" thickBot="1">
      <c r="A65" s="365" t="s">
        <v>247</v>
      </c>
      <c r="B65" s="366" t="s">
        <v>47</v>
      </c>
    </row>
    <row r="66" spans="1:2" ht="15" thickBot="1">
      <c r="A66" s="367" t="s">
        <v>244</v>
      </c>
      <c r="B66" s="349">
        <f>G28</f>
        <v>5053.25</v>
      </c>
    </row>
    <row r="67" spans="1:2" ht="15" thickBot="1">
      <c r="A67" s="368" t="s">
        <v>245</v>
      </c>
      <c r="B67" s="349">
        <f>F57</f>
        <v>2015.5</v>
      </c>
    </row>
    <row r="68" spans="1:2" ht="15" thickBot="1">
      <c r="A68" s="369" t="s">
        <v>248</v>
      </c>
      <c r="B68" s="349">
        <f>SUM(B66:B67)</f>
        <v>7068.75</v>
      </c>
    </row>
    <row r="70" ht="12.75" thickBot="1"/>
    <row r="71" spans="1:2" ht="15" thickBot="1">
      <c r="A71" s="365" t="s">
        <v>24</v>
      </c>
      <c r="B71" s="366" t="s">
        <v>47</v>
      </c>
    </row>
    <row r="72" spans="1:2" ht="15" thickBot="1">
      <c r="A72" s="367" t="s">
        <v>249</v>
      </c>
      <c r="B72" s="370">
        <f>B28</f>
        <v>6</v>
      </c>
    </row>
    <row r="73" spans="1:2" ht="15" thickBot="1">
      <c r="A73" s="367" t="s">
        <v>250</v>
      </c>
      <c r="B73" s="370">
        <f>B57</f>
        <v>3</v>
      </c>
    </row>
    <row r="74" spans="1:2" ht="15" thickBot="1">
      <c r="A74" s="369" t="s">
        <v>251</v>
      </c>
      <c r="B74" s="370">
        <f>SUM(B72:B73)</f>
        <v>9</v>
      </c>
    </row>
  </sheetData>
  <sheetProtection formatColumns="0" formatRows="0" insertColumns="0" insertRows="0"/>
  <mergeCells count="7">
    <mergeCell ref="A33:D33"/>
    <mergeCell ref="A9:D9"/>
    <mergeCell ref="A10:D10"/>
    <mergeCell ref="A12:D12"/>
    <mergeCell ref="A29:C29"/>
    <mergeCell ref="A31:D31"/>
    <mergeCell ref="A32:D32"/>
  </mergeCells>
  <dataValidations count="1">
    <dataValidation allowBlank="1" showInputMessage="1" showErrorMessage="1" prompt="You may change any of the job titles." sqref="A39:A56 A16:A26"/>
  </dataValidations>
  <printOptions/>
  <pageMargins left="0" right="0" top="0.75" bottom="0.75" header="0.3" footer="0.3"/>
  <pageSetup horizontalDpi="600" verticalDpi="600" orientation="landscape" scale="58" r:id="rId1"/>
  <rowBreaks count="1" manualBreakCount="1">
    <brk id="57" max="255" man="1"/>
  </rowBreaks>
</worksheet>
</file>

<file path=xl/worksheets/sheet4.xml><?xml version="1.0" encoding="utf-8"?>
<worksheet xmlns="http://schemas.openxmlformats.org/spreadsheetml/2006/main" xmlns:r="http://schemas.openxmlformats.org/officeDocument/2006/relationships">
  <sheetPr codeName="Sheet4"/>
  <dimension ref="A1:G74"/>
  <sheetViews>
    <sheetView zoomScale="78" zoomScaleNormal="78" zoomScalePageLayoutView="0" workbookViewId="0" topLeftCell="A12">
      <selection activeCell="A38" sqref="A38"/>
    </sheetView>
  </sheetViews>
  <sheetFormatPr defaultColWidth="8.8515625" defaultRowHeight="12.75"/>
  <cols>
    <col min="1" max="1" width="60.57421875" style="195" customWidth="1"/>
    <col min="2" max="2" width="13.00390625" style="195" customWidth="1"/>
    <col min="3" max="3" width="11.57421875" style="195" customWidth="1"/>
    <col min="4" max="4" width="15.57421875" style="195" customWidth="1"/>
    <col min="5" max="5" width="16.8515625" style="195" customWidth="1"/>
    <col min="6" max="6" width="17.421875" style="195" customWidth="1"/>
    <col min="7" max="7" width="14.421875" style="195" customWidth="1"/>
    <col min="8" max="16384" width="8.8515625" style="195" customWidth="1"/>
  </cols>
  <sheetData>
    <row r="1" ht="13.5" thickBot="1">
      <c r="A1" s="383" t="str">
        <f>'Budget with Assumptions'!A2</f>
        <v>Chicago Preparatory Charter Middle School</v>
      </c>
    </row>
    <row r="4" ht="12.75" thickBot="1"/>
    <row r="5" spans="1:2" ht="63" thickBot="1">
      <c r="A5" s="373" t="s">
        <v>283</v>
      </c>
      <c r="B5" s="371">
        <v>0.02</v>
      </c>
    </row>
    <row r="8" ht="12.75" thickBot="1">
      <c r="A8" s="195" t="str">
        <f>Instructions!B1</f>
        <v>Chicago Preparatory Charter Middle School</v>
      </c>
    </row>
    <row r="9" spans="1:7" ht="14.25" thickBot="1">
      <c r="A9" s="673" t="s">
        <v>351</v>
      </c>
      <c r="B9" s="674"/>
      <c r="C9" s="674"/>
      <c r="D9" s="675"/>
      <c r="E9" s="374"/>
      <c r="F9" s="374"/>
      <c r="G9" s="374"/>
    </row>
    <row r="10" spans="1:7" ht="14.25" thickBot="1">
      <c r="A10" s="676" t="s">
        <v>237</v>
      </c>
      <c r="B10" s="677"/>
      <c r="C10" s="677"/>
      <c r="D10" s="678"/>
      <c r="E10" s="374"/>
      <c r="F10" s="374"/>
      <c r="G10" s="374"/>
    </row>
    <row r="11" spans="1:7" ht="70.5" thickBot="1">
      <c r="A11" s="353" t="s">
        <v>228</v>
      </c>
      <c r="B11" s="353" t="s">
        <v>229</v>
      </c>
      <c r="C11" s="353" t="s">
        <v>230</v>
      </c>
      <c r="D11" s="354" t="s">
        <v>231</v>
      </c>
      <c r="E11" s="332" t="s">
        <v>238</v>
      </c>
      <c r="F11" s="332" t="s">
        <v>239</v>
      </c>
      <c r="G11" s="332" t="s">
        <v>240</v>
      </c>
    </row>
    <row r="12" spans="1:7" ht="15.75" thickBot="1">
      <c r="A12" s="670"/>
      <c r="B12" s="671"/>
      <c r="C12" s="671"/>
      <c r="D12" s="672"/>
      <c r="E12" s="504">
        <v>0</v>
      </c>
      <c r="F12" s="355">
        <v>0.1116</v>
      </c>
      <c r="G12" s="356">
        <v>0.0145</v>
      </c>
    </row>
    <row r="13" spans="1:7" ht="13.5">
      <c r="A13" s="528" t="str">
        <f>'Salaries - Year 1'!A13</f>
        <v>Head of School</v>
      </c>
      <c r="B13" s="350">
        <v>1</v>
      </c>
      <c r="C13" s="335">
        <f>('Salaries - Year 1'!C13)*(1+$B$5)</f>
        <v>76500</v>
      </c>
      <c r="D13" s="345">
        <f>B13*C13</f>
        <v>76500</v>
      </c>
      <c r="E13" s="357">
        <f>D13*$E$12</f>
        <v>0</v>
      </c>
      <c r="F13" s="358">
        <f>D13*$F$12</f>
        <v>8537.4</v>
      </c>
      <c r="G13" s="357">
        <f>D13*$G$12</f>
        <v>1109.25</v>
      </c>
    </row>
    <row r="14" spans="1:7" ht="13.5">
      <c r="A14" s="528" t="s">
        <v>390</v>
      </c>
      <c r="B14" s="350">
        <v>1</v>
      </c>
      <c r="C14" s="335">
        <v>65000</v>
      </c>
      <c r="D14" s="345">
        <f>B14*C14</f>
        <v>65000</v>
      </c>
      <c r="E14" s="357">
        <f>D14*$E$12</f>
        <v>0</v>
      </c>
      <c r="F14" s="358">
        <f>D14*$F$12</f>
        <v>7254</v>
      </c>
      <c r="G14" s="357">
        <f>D14*$G$12</f>
        <v>942.5</v>
      </c>
    </row>
    <row r="15" spans="1:7" ht="13.5">
      <c r="A15" s="528" t="str">
        <f>'Salaries - Year 1'!A15</f>
        <v>Student Supports Coordinator</v>
      </c>
      <c r="B15" s="351">
        <v>1</v>
      </c>
      <c r="C15" s="335">
        <f>('Salaries - Year 1'!C15)*(1+$B$5)</f>
        <v>61200</v>
      </c>
      <c r="D15" s="345">
        <f aca="true" t="shared" si="0" ref="D15:D27">B15*C15</f>
        <v>61200</v>
      </c>
      <c r="E15" s="357">
        <f aca="true" t="shared" si="1" ref="E15:E27">D15*$E$12</f>
        <v>0</v>
      </c>
      <c r="F15" s="358">
        <f aca="true" t="shared" si="2" ref="F15:F27">D15*$F$12</f>
        <v>6829.92</v>
      </c>
      <c r="G15" s="357">
        <f aca="true" t="shared" si="3" ref="G15:G27">D15*$G$12</f>
        <v>887.4000000000001</v>
      </c>
    </row>
    <row r="16" spans="1:7" ht="13.5">
      <c r="A16" s="528" t="s">
        <v>455</v>
      </c>
      <c r="B16" s="351">
        <v>1</v>
      </c>
      <c r="C16" s="335">
        <f>('Salaries - Year 1'!C16)*(1+$B$5)</f>
        <v>56100</v>
      </c>
      <c r="D16" s="345">
        <f t="shared" si="0"/>
        <v>56100</v>
      </c>
      <c r="E16" s="357">
        <f t="shared" si="1"/>
        <v>0</v>
      </c>
      <c r="F16" s="358">
        <f t="shared" si="2"/>
        <v>6260.76</v>
      </c>
      <c r="G16" s="357">
        <f t="shared" si="3"/>
        <v>813.45</v>
      </c>
    </row>
    <row r="17" spans="1:7" ht="13.5">
      <c r="A17" s="528" t="str">
        <f>'Salaries - Year 1'!A17</f>
        <v>Teachers</v>
      </c>
      <c r="B17" s="351">
        <v>6</v>
      </c>
      <c r="C17" s="335">
        <f>('Salaries - Year 1'!C17)*(1+$B$5)</f>
        <v>55080</v>
      </c>
      <c r="D17" s="345">
        <f t="shared" si="0"/>
        <v>330480</v>
      </c>
      <c r="E17" s="357">
        <f t="shared" si="1"/>
        <v>0</v>
      </c>
      <c r="F17" s="358">
        <f t="shared" si="2"/>
        <v>36881.568</v>
      </c>
      <c r="G17" s="357">
        <f t="shared" si="3"/>
        <v>4791.96</v>
      </c>
    </row>
    <row r="18" spans="1:7" ht="13.5">
      <c r="A18" s="528"/>
      <c r="B18" s="351"/>
      <c r="C18" s="335"/>
      <c r="D18" s="345">
        <f t="shared" si="0"/>
        <v>0</v>
      </c>
      <c r="E18" s="357">
        <f t="shared" si="1"/>
        <v>0</v>
      </c>
      <c r="F18" s="358">
        <f t="shared" si="2"/>
        <v>0</v>
      </c>
      <c r="G18" s="357">
        <f t="shared" si="3"/>
        <v>0</v>
      </c>
    </row>
    <row r="19" spans="1:7" ht="13.5">
      <c r="A19" s="528"/>
      <c r="B19" s="351"/>
      <c r="C19" s="335"/>
      <c r="D19" s="345">
        <f t="shared" si="0"/>
        <v>0</v>
      </c>
      <c r="E19" s="357">
        <f t="shared" si="1"/>
        <v>0</v>
      </c>
      <c r="F19" s="358">
        <f t="shared" si="2"/>
        <v>0</v>
      </c>
      <c r="G19" s="357">
        <f t="shared" si="3"/>
        <v>0</v>
      </c>
    </row>
    <row r="20" spans="1:7" ht="13.5">
      <c r="A20" s="528">
        <f>'Salaries - Year 1'!A20</f>
        <v>0</v>
      </c>
      <c r="B20" s="351"/>
      <c r="C20" s="335">
        <f>('Salaries - Year 1'!C20)*(1+$B$5)</f>
        <v>0</v>
      </c>
      <c r="D20" s="345">
        <f t="shared" si="0"/>
        <v>0</v>
      </c>
      <c r="E20" s="357">
        <f t="shared" si="1"/>
        <v>0</v>
      </c>
      <c r="F20" s="358">
        <f t="shared" si="2"/>
        <v>0</v>
      </c>
      <c r="G20" s="357">
        <f t="shared" si="3"/>
        <v>0</v>
      </c>
    </row>
    <row r="21" spans="1:7" ht="13.5">
      <c r="A21" s="528">
        <f>'Salaries - Year 1'!A21</f>
        <v>0</v>
      </c>
      <c r="B21" s="351"/>
      <c r="C21" s="335">
        <f>('Salaries - Year 1'!C21)*(1+$B$5)</f>
        <v>0</v>
      </c>
      <c r="D21" s="345">
        <f t="shared" si="0"/>
        <v>0</v>
      </c>
      <c r="E21" s="357">
        <f t="shared" si="1"/>
        <v>0</v>
      </c>
      <c r="F21" s="358">
        <f t="shared" si="2"/>
        <v>0</v>
      </c>
      <c r="G21" s="357">
        <f t="shared" si="3"/>
        <v>0</v>
      </c>
    </row>
    <row r="22" spans="1:7" ht="13.5">
      <c r="A22" s="528">
        <f>'Salaries - Year 1'!A22</f>
        <v>0</v>
      </c>
      <c r="B22" s="351"/>
      <c r="C22" s="335">
        <f>('Salaries - Year 1'!C22)*(1+$B$5)</f>
        <v>0</v>
      </c>
      <c r="D22" s="345">
        <f t="shared" si="0"/>
        <v>0</v>
      </c>
      <c r="E22" s="357">
        <f t="shared" si="1"/>
        <v>0</v>
      </c>
      <c r="F22" s="358">
        <f t="shared" si="2"/>
        <v>0</v>
      </c>
      <c r="G22" s="357">
        <f t="shared" si="3"/>
        <v>0</v>
      </c>
    </row>
    <row r="23" spans="1:7" ht="13.5">
      <c r="A23" s="528">
        <f>'Salaries - Year 1'!A23</f>
        <v>0</v>
      </c>
      <c r="B23" s="351"/>
      <c r="C23" s="335">
        <f>('Salaries - Year 1'!C23)*(1+$B$5)</f>
        <v>0</v>
      </c>
      <c r="D23" s="345">
        <f t="shared" si="0"/>
        <v>0</v>
      </c>
      <c r="E23" s="357">
        <f t="shared" si="1"/>
        <v>0</v>
      </c>
      <c r="F23" s="358">
        <f t="shared" si="2"/>
        <v>0</v>
      </c>
      <c r="G23" s="357">
        <f t="shared" si="3"/>
        <v>0</v>
      </c>
    </row>
    <row r="24" spans="1:7" ht="13.5">
      <c r="A24" s="528">
        <f>'Salaries - Year 1'!A24</f>
        <v>0</v>
      </c>
      <c r="B24" s="351"/>
      <c r="C24" s="335">
        <f>('Salaries - Year 1'!C24)*(1+$B$5)</f>
        <v>0</v>
      </c>
      <c r="D24" s="345">
        <f t="shared" si="0"/>
        <v>0</v>
      </c>
      <c r="E24" s="357">
        <f t="shared" si="1"/>
        <v>0</v>
      </c>
      <c r="F24" s="358">
        <f t="shared" si="2"/>
        <v>0</v>
      </c>
      <c r="G24" s="357">
        <f t="shared" si="3"/>
        <v>0</v>
      </c>
    </row>
    <row r="25" spans="1:7" ht="13.5">
      <c r="A25" s="528">
        <f>'Salaries - Year 1'!A25</f>
        <v>0</v>
      </c>
      <c r="B25" s="351"/>
      <c r="C25" s="335">
        <f>('Salaries - Year 1'!C25)*(1+$B$5)</f>
        <v>0</v>
      </c>
      <c r="D25" s="345">
        <f t="shared" si="0"/>
        <v>0</v>
      </c>
      <c r="E25" s="357">
        <f t="shared" si="1"/>
        <v>0</v>
      </c>
      <c r="F25" s="358">
        <f t="shared" si="2"/>
        <v>0</v>
      </c>
      <c r="G25" s="357">
        <f t="shared" si="3"/>
        <v>0</v>
      </c>
    </row>
    <row r="26" spans="1:7" ht="13.5">
      <c r="A26" s="330"/>
      <c r="B26" s="351"/>
      <c r="C26" s="335">
        <f>('Salaries - Year 1'!C26)*(1+$B$5)</f>
        <v>0</v>
      </c>
      <c r="D26" s="345">
        <f t="shared" si="0"/>
        <v>0</v>
      </c>
      <c r="E26" s="357">
        <f t="shared" si="1"/>
        <v>0</v>
      </c>
      <c r="F26" s="358">
        <f t="shared" si="2"/>
        <v>0</v>
      </c>
      <c r="G26" s="357">
        <f t="shared" si="3"/>
        <v>0</v>
      </c>
    </row>
    <row r="27" spans="1:7" ht="14.25" thickBot="1">
      <c r="A27" s="339"/>
      <c r="B27" s="351"/>
      <c r="C27" s="335">
        <f>('Salaries - Year 1'!C27)*(1+$B$5)</f>
        <v>0</v>
      </c>
      <c r="D27" s="345">
        <f t="shared" si="0"/>
        <v>0</v>
      </c>
      <c r="E27" s="357">
        <f t="shared" si="1"/>
        <v>0</v>
      </c>
      <c r="F27" s="359">
        <f t="shared" si="2"/>
        <v>0</v>
      </c>
      <c r="G27" s="357">
        <f t="shared" si="3"/>
        <v>0</v>
      </c>
    </row>
    <row r="28" spans="1:7" ht="28.5" customHeight="1" thickBot="1">
      <c r="A28" s="360" t="s">
        <v>241</v>
      </c>
      <c r="B28" s="361">
        <f>SUM(B13:B27)</f>
        <v>10</v>
      </c>
      <c r="C28" s="348"/>
      <c r="D28" s="349">
        <f>SUM(D13:D27)</f>
        <v>589280</v>
      </c>
      <c r="E28" s="349">
        <f>SUM(E13:E27)</f>
        <v>0</v>
      </c>
      <c r="F28" s="349">
        <f>SUM(F13:F27)</f>
        <v>65763.648</v>
      </c>
      <c r="G28" s="349">
        <f>SUM(G13:G27)</f>
        <v>8544.560000000001</v>
      </c>
    </row>
    <row r="29" spans="1:7" ht="12">
      <c r="A29" s="679"/>
      <c r="B29" s="679"/>
      <c r="C29" s="679"/>
      <c r="D29" s="391"/>
      <c r="E29" s="374"/>
      <c r="F29" s="374"/>
      <c r="G29" s="374"/>
    </row>
    <row r="30" spans="1:7" ht="12.75" thickBot="1">
      <c r="A30" s="390"/>
      <c r="B30" s="390"/>
      <c r="C30" s="390"/>
      <c r="D30" s="391"/>
      <c r="E30" s="374"/>
      <c r="F30" s="374"/>
      <c r="G30" s="374"/>
    </row>
    <row r="31" spans="1:7" ht="14.25" thickBot="1">
      <c r="A31" s="673" t="s">
        <v>352</v>
      </c>
      <c r="B31" s="674"/>
      <c r="C31" s="674"/>
      <c r="D31" s="675"/>
      <c r="E31" s="374"/>
      <c r="F31" s="374"/>
      <c r="G31" s="374"/>
    </row>
    <row r="32" spans="1:7" ht="42" thickBot="1">
      <c r="A32" s="676" t="s">
        <v>242</v>
      </c>
      <c r="B32" s="677"/>
      <c r="C32" s="677"/>
      <c r="D32" s="678"/>
      <c r="E32" s="332" t="s">
        <v>243</v>
      </c>
      <c r="F32" s="332" t="s">
        <v>240</v>
      </c>
      <c r="G32" s="374"/>
    </row>
    <row r="33" spans="1:7" ht="15.75" thickBot="1">
      <c r="A33" s="670"/>
      <c r="B33" s="671"/>
      <c r="C33" s="671"/>
      <c r="D33" s="672"/>
      <c r="E33" s="356">
        <v>0.062</v>
      </c>
      <c r="F33" s="356">
        <v>0.0145</v>
      </c>
      <c r="G33" s="374"/>
    </row>
    <row r="34" spans="1:7" ht="13.5">
      <c r="A34" s="505" t="str">
        <f>'Salaries - Year 1'!A34</f>
        <v>Operations Associate</v>
      </c>
      <c r="B34" s="350">
        <v>1</v>
      </c>
      <c r="C34" s="335">
        <f>('Salaries - Year 1'!C34)*(1+B$5)</f>
        <v>45900</v>
      </c>
      <c r="D34" s="345">
        <f>B34*C34</f>
        <v>45900</v>
      </c>
      <c r="E34" s="357">
        <f>D34*$E$33</f>
        <v>2845.8</v>
      </c>
      <c r="F34" s="357">
        <f>D34*$F$33</f>
        <v>665.5500000000001</v>
      </c>
      <c r="G34" s="374"/>
    </row>
    <row r="35" spans="1:7" ht="13.5">
      <c r="A35" s="505" t="str">
        <f>'Salaries - Year 1'!A35</f>
        <v>Teachers</v>
      </c>
      <c r="B35" s="351">
        <v>2</v>
      </c>
      <c r="C35" s="335">
        <f>('Salaries - Year 1'!C35)*(1+$B$5)</f>
        <v>55080</v>
      </c>
      <c r="D35" s="345">
        <f aca="true" t="shared" si="4" ref="D35:D56">B35*C35</f>
        <v>110160</v>
      </c>
      <c r="E35" s="362">
        <f aca="true" t="shared" si="5" ref="E35:E56">D35*$E$33</f>
        <v>6829.92</v>
      </c>
      <c r="F35" s="362">
        <f aca="true" t="shared" si="6" ref="F35:F56">D35*$F$33</f>
        <v>1597.3200000000002</v>
      </c>
      <c r="G35" s="374"/>
    </row>
    <row r="36" spans="1:7" ht="13.5">
      <c r="A36" s="505" t="s">
        <v>393</v>
      </c>
      <c r="B36" s="351">
        <v>1</v>
      </c>
      <c r="C36" s="335">
        <f>('Salaries - Year 1'!C36)*(1+$B$5)</f>
        <v>40800</v>
      </c>
      <c r="D36" s="345">
        <f t="shared" si="4"/>
        <v>40800</v>
      </c>
      <c r="E36" s="362">
        <f t="shared" si="5"/>
        <v>2529.6</v>
      </c>
      <c r="F36" s="362">
        <f t="shared" si="6"/>
        <v>591.6</v>
      </c>
      <c r="G36" s="374"/>
    </row>
    <row r="37" spans="1:7" ht="13.5">
      <c r="A37" s="505">
        <v>0</v>
      </c>
      <c r="B37" s="351"/>
      <c r="C37" s="335">
        <v>0</v>
      </c>
      <c r="D37" s="345">
        <f t="shared" si="4"/>
        <v>0</v>
      </c>
      <c r="E37" s="362">
        <f t="shared" si="5"/>
        <v>0</v>
      </c>
      <c r="F37" s="362">
        <f t="shared" si="6"/>
        <v>0</v>
      </c>
      <c r="G37" s="374"/>
    </row>
    <row r="38" spans="1:7" ht="13.5">
      <c r="A38" s="505">
        <f>'Salaries - Year 1'!A38</f>
        <v>0</v>
      </c>
      <c r="B38" s="351"/>
      <c r="C38" s="335">
        <f>('Salaries - Year 1'!C39)*(1+$B$5)</f>
        <v>0</v>
      </c>
      <c r="D38" s="345">
        <f t="shared" si="4"/>
        <v>0</v>
      </c>
      <c r="E38" s="362">
        <f t="shared" si="5"/>
        <v>0</v>
      </c>
      <c r="F38" s="362">
        <f t="shared" si="6"/>
        <v>0</v>
      </c>
      <c r="G38" s="374"/>
    </row>
    <row r="39" spans="1:7" ht="13.5">
      <c r="A39" s="505">
        <f>'Salaries - Year 1'!A39</f>
        <v>0</v>
      </c>
      <c r="B39" s="351"/>
      <c r="C39" s="335">
        <f>('Salaries - Year 1'!C40)*(1+$B$5)</f>
        <v>0</v>
      </c>
      <c r="D39" s="345">
        <f t="shared" si="4"/>
        <v>0</v>
      </c>
      <c r="E39" s="362">
        <f t="shared" si="5"/>
        <v>0</v>
      </c>
      <c r="F39" s="362">
        <f t="shared" si="6"/>
        <v>0</v>
      </c>
      <c r="G39" s="374"/>
    </row>
    <row r="40" spans="1:7" ht="13.5">
      <c r="A40" s="505">
        <f>'Salaries - Year 1'!A40</f>
        <v>0</v>
      </c>
      <c r="B40" s="351"/>
      <c r="C40" s="335">
        <f>('Salaries - Year 1'!C41)*(1+$B$5)</f>
        <v>0</v>
      </c>
      <c r="D40" s="345">
        <f t="shared" si="4"/>
        <v>0</v>
      </c>
      <c r="E40" s="362">
        <f t="shared" si="5"/>
        <v>0</v>
      </c>
      <c r="F40" s="362">
        <f t="shared" si="6"/>
        <v>0</v>
      </c>
      <c r="G40" s="374"/>
    </row>
    <row r="41" spans="1:7" ht="13.5">
      <c r="A41" s="505">
        <f>'Salaries - Year 1'!A41</f>
        <v>0</v>
      </c>
      <c r="B41" s="351"/>
      <c r="C41" s="335">
        <f>('Salaries - Year 1'!C42)*(1+$B$5)</f>
        <v>0</v>
      </c>
      <c r="D41" s="345">
        <f t="shared" si="4"/>
        <v>0</v>
      </c>
      <c r="E41" s="362">
        <f t="shared" si="5"/>
        <v>0</v>
      </c>
      <c r="F41" s="362">
        <f t="shared" si="6"/>
        <v>0</v>
      </c>
      <c r="G41" s="374"/>
    </row>
    <row r="42" spans="1:7" ht="13.5">
      <c r="A42" s="505">
        <f>'Salaries - Year 1'!A42</f>
        <v>0</v>
      </c>
      <c r="B42" s="351"/>
      <c r="C42" s="335">
        <f>('Salaries - Year 1'!C43)*(1+$B$5)</f>
        <v>0</v>
      </c>
      <c r="D42" s="345">
        <f t="shared" si="4"/>
        <v>0</v>
      </c>
      <c r="E42" s="362">
        <f t="shared" si="5"/>
        <v>0</v>
      </c>
      <c r="F42" s="362">
        <f t="shared" si="6"/>
        <v>0</v>
      </c>
      <c r="G42" s="374"/>
    </row>
    <row r="43" spans="1:7" ht="13.5">
      <c r="A43" s="505">
        <f>'Salaries - Year 1'!A43</f>
        <v>0</v>
      </c>
      <c r="B43" s="351"/>
      <c r="C43" s="335">
        <f>('Salaries - Year 1'!C44)*(1+$B$5)</f>
        <v>0</v>
      </c>
      <c r="D43" s="345">
        <f t="shared" si="4"/>
        <v>0</v>
      </c>
      <c r="E43" s="362">
        <f t="shared" si="5"/>
        <v>0</v>
      </c>
      <c r="F43" s="362">
        <f t="shared" si="6"/>
        <v>0</v>
      </c>
      <c r="G43" s="374"/>
    </row>
    <row r="44" spans="1:7" ht="13.5">
      <c r="A44" s="505">
        <f>'Salaries - Year 1'!A44</f>
        <v>0</v>
      </c>
      <c r="B44" s="351"/>
      <c r="C44" s="335">
        <f>('Salaries - Year 1'!C45)*(1+$B$5)</f>
        <v>0</v>
      </c>
      <c r="D44" s="345">
        <f t="shared" si="4"/>
        <v>0</v>
      </c>
      <c r="E44" s="362">
        <f t="shared" si="5"/>
        <v>0</v>
      </c>
      <c r="F44" s="362">
        <f t="shared" si="6"/>
        <v>0</v>
      </c>
      <c r="G44" s="374"/>
    </row>
    <row r="45" spans="1:7" ht="13.5">
      <c r="A45" s="505">
        <f>'Salaries - Year 1'!A45</f>
        <v>0</v>
      </c>
      <c r="B45" s="351"/>
      <c r="C45" s="335">
        <f>('Salaries - Year 1'!C46)*(1+$B$5)</f>
        <v>0</v>
      </c>
      <c r="D45" s="345">
        <f t="shared" si="4"/>
        <v>0</v>
      </c>
      <c r="E45" s="362">
        <f t="shared" si="5"/>
        <v>0</v>
      </c>
      <c r="F45" s="362">
        <f t="shared" si="6"/>
        <v>0</v>
      </c>
      <c r="G45" s="374"/>
    </row>
    <row r="46" spans="1:7" ht="13.5">
      <c r="A46" s="505">
        <f>'Salaries - Year 1'!A46</f>
        <v>0</v>
      </c>
      <c r="B46" s="351"/>
      <c r="C46" s="335">
        <f>('Salaries - Year 1'!C47)*(1+$B$5)</f>
        <v>0</v>
      </c>
      <c r="D46" s="345">
        <f t="shared" si="4"/>
        <v>0</v>
      </c>
      <c r="E46" s="362">
        <f t="shared" si="5"/>
        <v>0</v>
      </c>
      <c r="F46" s="362">
        <f t="shared" si="6"/>
        <v>0</v>
      </c>
      <c r="G46" s="374"/>
    </row>
    <row r="47" spans="1:7" ht="13.5">
      <c r="A47" s="505">
        <f>'Salaries - Year 1'!A47</f>
        <v>0</v>
      </c>
      <c r="B47" s="351"/>
      <c r="C47" s="335">
        <f>('Salaries - Year 1'!C48)*(1+$B$5)</f>
        <v>0</v>
      </c>
      <c r="D47" s="345">
        <f t="shared" si="4"/>
        <v>0</v>
      </c>
      <c r="E47" s="362">
        <f t="shared" si="5"/>
        <v>0</v>
      </c>
      <c r="F47" s="362">
        <f t="shared" si="6"/>
        <v>0</v>
      </c>
      <c r="G47" s="374"/>
    </row>
    <row r="48" spans="1:7" ht="13.5">
      <c r="A48" s="505">
        <f>'Salaries - Year 1'!A48</f>
        <v>0</v>
      </c>
      <c r="B48" s="352"/>
      <c r="C48" s="335">
        <f>('Salaries - Year 1'!C49)*(1+$B$5)</f>
        <v>0</v>
      </c>
      <c r="D48" s="345">
        <f t="shared" si="4"/>
        <v>0</v>
      </c>
      <c r="E48" s="362">
        <f t="shared" si="5"/>
        <v>0</v>
      </c>
      <c r="F48" s="362">
        <f t="shared" si="6"/>
        <v>0</v>
      </c>
      <c r="G48" s="374"/>
    </row>
    <row r="49" spans="1:7" ht="13.5">
      <c r="A49" s="505">
        <f>'Salaries - Year 1'!A49</f>
        <v>0</v>
      </c>
      <c r="B49" s="352"/>
      <c r="C49" s="335">
        <f>('Salaries - Year 1'!C50)*(1+$B$5)</f>
        <v>0</v>
      </c>
      <c r="D49" s="345">
        <f t="shared" si="4"/>
        <v>0</v>
      </c>
      <c r="E49" s="362">
        <f t="shared" si="5"/>
        <v>0</v>
      </c>
      <c r="F49" s="362">
        <f t="shared" si="6"/>
        <v>0</v>
      </c>
      <c r="G49" s="374"/>
    </row>
    <row r="50" spans="1:7" ht="13.5">
      <c r="A50" s="505">
        <f>'Salaries - Year 1'!A50</f>
        <v>0</v>
      </c>
      <c r="B50" s="352"/>
      <c r="C50" s="335">
        <f>('Salaries - Year 1'!C51)*(1+$B$5)</f>
        <v>0</v>
      </c>
      <c r="D50" s="345">
        <f t="shared" si="4"/>
        <v>0</v>
      </c>
      <c r="E50" s="362">
        <f t="shared" si="5"/>
        <v>0</v>
      </c>
      <c r="F50" s="362">
        <f t="shared" si="6"/>
        <v>0</v>
      </c>
      <c r="G50" s="374"/>
    </row>
    <row r="51" spans="1:7" ht="13.5">
      <c r="A51" s="505">
        <f>'Salaries - Year 1'!A51</f>
        <v>0</v>
      </c>
      <c r="B51" s="352"/>
      <c r="C51" s="335">
        <f>('Salaries - Year 1'!C52)*(1+$B$5)</f>
        <v>0</v>
      </c>
      <c r="D51" s="345">
        <f t="shared" si="4"/>
        <v>0</v>
      </c>
      <c r="E51" s="362">
        <f t="shared" si="5"/>
        <v>0</v>
      </c>
      <c r="F51" s="362">
        <f t="shared" si="6"/>
        <v>0</v>
      </c>
      <c r="G51" s="374"/>
    </row>
    <row r="52" spans="1:7" ht="13.5">
      <c r="A52" s="505">
        <f>'Salaries - Year 1'!A52</f>
        <v>0</v>
      </c>
      <c r="B52" s="352"/>
      <c r="C52" s="335">
        <f>('Salaries - Year 1'!C53)*(1+$B$5)</f>
        <v>0</v>
      </c>
      <c r="D52" s="345">
        <f t="shared" si="4"/>
        <v>0</v>
      </c>
      <c r="E52" s="362">
        <f t="shared" si="5"/>
        <v>0</v>
      </c>
      <c r="F52" s="362">
        <f t="shared" si="6"/>
        <v>0</v>
      </c>
      <c r="G52" s="374"/>
    </row>
    <row r="53" spans="1:7" ht="13.5">
      <c r="A53" s="505">
        <f>'Salaries - Year 1'!A53</f>
        <v>0</v>
      </c>
      <c r="B53" s="352"/>
      <c r="C53" s="335">
        <f>('Salaries - Year 1'!C54)*(1+$B$5)</f>
        <v>0</v>
      </c>
      <c r="D53" s="345">
        <f t="shared" si="4"/>
        <v>0</v>
      </c>
      <c r="E53" s="362">
        <f t="shared" si="5"/>
        <v>0</v>
      </c>
      <c r="F53" s="362">
        <f t="shared" si="6"/>
        <v>0</v>
      </c>
      <c r="G53" s="374"/>
    </row>
    <row r="54" spans="1:7" ht="13.5">
      <c r="A54" s="505">
        <f>'Salaries - Year 1'!A54</f>
        <v>0</v>
      </c>
      <c r="B54" s="352"/>
      <c r="C54" s="335">
        <f>('Salaries - Year 1'!C55)*(1+$B$5)</f>
        <v>0</v>
      </c>
      <c r="D54" s="345">
        <f t="shared" si="4"/>
        <v>0</v>
      </c>
      <c r="E54" s="362">
        <f t="shared" si="5"/>
        <v>0</v>
      </c>
      <c r="F54" s="362">
        <f t="shared" si="6"/>
        <v>0</v>
      </c>
      <c r="G54" s="374"/>
    </row>
    <row r="55" spans="1:7" ht="13.5">
      <c r="A55" s="505">
        <f>'Salaries - Year 1'!A55</f>
        <v>0</v>
      </c>
      <c r="B55" s="352"/>
      <c r="C55" s="335">
        <f>('Salaries - Year 1'!C56)*(1+$B$5)</f>
        <v>0</v>
      </c>
      <c r="D55" s="345">
        <f>B55*C55</f>
        <v>0</v>
      </c>
      <c r="E55" s="362">
        <f>D55*$E$33</f>
        <v>0</v>
      </c>
      <c r="F55" s="362">
        <f>D55*$F$33</f>
        <v>0</v>
      </c>
      <c r="G55" s="374"/>
    </row>
    <row r="56" spans="1:7" ht="14.25" thickBot="1">
      <c r="A56" s="505">
        <f>'Salaries - Year 1'!A56</f>
        <v>0</v>
      </c>
      <c r="B56" s="352"/>
      <c r="C56" s="335">
        <f>('Salaries - Year 1'!C56)*(1+$B$5)</f>
        <v>0</v>
      </c>
      <c r="D56" s="345">
        <f t="shared" si="4"/>
        <v>0</v>
      </c>
      <c r="E56" s="362">
        <f t="shared" si="5"/>
        <v>0</v>
      </c>
      <c r="F56" s="362">
        <f t="shared" si="6"/>
        <v>0</v>
      </c>
      <c r="G56" s="374"/>
    </row>
    <row r="57" spans="1:7" ht="15" thickBot="1">
      <c r="A57" s="360" t="s">
        <v>241</v>
      </c>
      <c r="B57" s="363">
        <f>SUM(B34:B56)</f>
        <v>4</v>
      </c>
      <c r="C57" s="364"/>
      <c r="D57" s="349">
        <f>SUM(D34:D56)</f>
        <v>196860</v>
      </c>
      <c r="E57" s="349">
        <f>SUM(E34:E56)</f>
        <v>12205.320000000002</v>
      </c>
      <c r="F57" s="349">
        <f>SUM(F34:F56)</f>
        <v>2854.4700000000003</v>
      </c>
      <c r="G57" s="374"/>
    </row>
    <row r="58" spans="1:7" ht="12.75" thickBot="1">
      <c r="A58" s="374"/>
      <c r="B58" s="374"/>
      <c r="C58" s="374"/>
      <c r="D58" s="374"/>
      <c r="E58" s="374"/>
      <c r="F58" s="374"/>
      <c r="G58" s="374"/>
    </row>
    <row r="59" spans="1:7" ht="15" thickBot="1">
      <c r="A59" s="365" t="s">
        <v>6</v>
      </c>
      <c r="B59" s="366" t="s">
        <v>47</v>
      </c>
      <c r="C59" s="374"/>
      <c r="D59" s="374"/>
      <c r="E59" s="374"/>
      <c r="F59" s="374"/>
      <c r="G59" s="374"/>
    </row>
    <row r="60" spans="1:7" ht="15" thickBot="1">
      <c r="A60" s="367" t="s">
        <v>244</v>
      </c>
      <c r="B60" s="349">
        <f>D28</f>
        <v>589280</v>
      </c>
      <c r="C60" s="374"/>
      <c r="D60" s="374"/>
      <c r="E60" s="374"/>
      <c r="F60" s="374"/>
      <c r="G60" s="374"/>
    </row>
    <row r="61" spans="1:7" ht="15" thickBot="1">
      <c r="A61" s="368" t="s">
        <v>245</v>
      </c>
      <c r="B61" s="349">
        <f>D57</f>
        <v>196860</v>
      </c>
      <c r="C61" s="374"/>
      <c r="D61" s="374"/>
      <c r="E61" s="374"/>
      <c r="F61" s="374"/>
      <c r="G61" s="374"/>
    </row>
    <row r="62" spans="1:7" ht="15" thickBot="1">
      <c r="A62" s="369" t="s">
        <v>246</v>
      </c>
      <c r="B62" s="349">
        <f>SUM(B60:B61)</f>
        <v>786140</v>
      </c>
      <c r="C62" s="374"/>
      <c r="D62" s="374"/>
      <c r="E62" s="374"/>
      <c r="F62" s="374"/>
      <c r="G62" s="374"/>
    </row>
    <row r="63" spans="1:7" ht="12">
      <c r="A63" s="374"/>
      <c r="B63" s="374"/>
      <c r="C63" s="374"/>
      <c r="D63" s="374"/>
      <c r="E63" s="374"/>
      <c r="F63" s="374"/>
      <c r="G63" s="374"/>
    </row>
    <row r="64" spans="1:7" ht="12.75" thickBot="1">
      <c r="A64" s="374"/>
      <c r="B64" s="374"/>
      <c r="C64" s="374"/>
      <c r="D64" s="374"/>
      <c r="E64" s="374"/>
      <c r="F64" s="374"/>
      <c r="G64" s="374"/>
    </row>
    <row r="65" spans="1:2" ht="15" thickBot="1">
      <c r="A65" s="365" t="s">
        <v>247</v>
      </c>
      <c r="B65" s="366" t="s">
        <v>47</v>
      </c>
    </row>
    <row r="66" spans="1:2" ht="15" thickBot="1">
      <c r="A66" s="367" t="s">
        <v>244</v>
      </c>
      <c r="B66" s="349">
        <f>G28</f>
        <v>8544.560000000001</v>
      </c>
    </row>
    <row r="67" spans="1:2" ht="15" thickBot="1">
      <c r="A67" s="368" t="s">
        <v>245</v>
      </c>
      <c r="B67" s="349">
        <f>F57</f>
        <v>2854.4700000000003</v>
      </c>
    </row>
    <row r="68" spans="1:2" ht="15" thickBot="1">
      <c r="A68" s="369" t="s">
        <v>248</v>
      </c>
      <c r="B68" s="349">
        <f>SUM(B66:B67)</f>
        <v>11399.030000000002</v>
      </c>
    </row>
    <row r="70" ht="12.75" thickBot="1"/>
    <row r="71" spans="1:2" ht="15" thickBot="1">
      <c r="A71" s="365" t="s">
        <v>24</v>
      </c>
      <c r="B71" s="366" t="s">
        <v>47</v>
      </c>
    </row>
    <row r="72" spans="1:2" ht="15" thickBot="1">
      <c r="A72" s="367" t="s">
        <v>249</v>
      </c>
      <c r="B72" s="370">
        <f>B28</f>
        <v>10</v>
      </c>
    </row>
    <row r="73" spans="1:2" ht="15" thickBot="1">
      <c r="A73" s="367" t="s">
        <v>250</v>
      </c>
      <c r="B73" s="370">
        <f>B57</f>
        <v>4</v>
      </c>
    </row>
    <row r="74" spans="1:2" ht="15" thickBot="1">
      <c r="A74" s="369" t="s">
        <v>251</v>
      </c>
      <c r="B74" s="370">
        <f>SUM(B72:B73)</f>
        <v>14</v>
      </c>
    </row>
  </sheetData>
  <sheetProtection password="CC59" sheet="1" formatColumns="0" formatRows="0" insertColumns="0" insertRows="0"/>
  <mergeCells count="7">
    <mergeCell ref="A33:D33"/>
    <mergeCell ref="A9:D9"/>
    <mergeCell ref="A10:D10"/>
    <mergeCell ref="A12:D12"/>
    <mergeCell ref="A29:C29"/>
    <mergeCell ref="A31:D31"/>
    <mergeCell ref="A32:D32"/>
  </mergeCells>
  <dataValidations count="1">
    <dataValidation allowBlank="1" showInputMessage="1" showErrorMessage="1" prompt="You may change any of the job titles." sqref="A26"/>
  </dataValidations>
  <printOptions/>
  <pageMargins left="0" right="0" top="0.75" bottom="0.75" header="0.3" footer="0.3"/>
  <pageSetup horizontalDpi="600" verticalDpi="600" orientation="portrait" scale="60" r:id="rId1"/>
</worksheet>
</file>

<file path=xl/worksheets/sheet5.xml><?xml version="1.0" encoding="utf-8"?>
<worksheet xmlns="http://schemas.openxmlformats.org/spreadsheetml/2006/main" xmlns:r="http://schemas.openxmlformats.org/officeDocument/2006/relationships">
  <sheetPr codeName="Sheet5"/>
  <dimension ref="A1:G74"/>
  <sheetViews>
    <sheetView zoomScalePageLayoutView="0" workbookViewId="0" topLeftCell="A29">
      <selection activeCell="C37" sqref="C37"/>
    </sheetView>
  </sheetViews>
  <sheetFormatPr defaultColWidth="8.8515625" defaultRowHeight="12.75"/>
  <cols>
    <col min="1" max="1" width="60.57421875" style="195" customWidth="1"/>
    <col min="2" max="2" width="13.00390625" style="195" customWidth="1"/>
    <col min="3" max="3" width="11.57421875" style="195" customWidth="1"/>
    <col min="4" max="4" width="15.57421875" style="195" customWidth="1"/>
    <col min="5" max="5" width="16.8515625" style="195" customWidth="1"/>
    <col min="6" max="6" width="17.421875" style="195" customWidth="1"/>
    <col min="7" max="7" width="14.421875" style="195" customWidth="1"/>
    <col min="8" max="16384" width="8.8515625" style="195" customWidth="1"/>
  </cols>
  <sheetData>
    <row r="1" ht="13.5" thickBot="1">
      <c r="A1" s="383" t="str">
        <f>'Budget with Assumptions'!A2</f>
        <v>Chicago Preparatory Charter Middle School</v>
      </c>
    </row>
    <row r="4" ht="12.75" thickBot="1"/>
    <row r="5" spans="1:2" ht="63" thickBot="1">
      <c r="A5" s="373" t="s">
        <v>252</v>
      </c>
      <c r="B5" s="372">
        <v>0.02</v>
      </c>
    </row>
    <row r="8" ht="12.75" thickBot="1">
      <c r="A8" s="195" t="str">
        <f>Instructions!B1</f>
        <v>Chicago Preparatory Charter Middle School</v>
      </c>
    </row>
    <row r="9" spans="1:7" ht="14.25" thickBot="1">
      <c r="A9" s="673" t="s">
        <v>354</v>
      </c>
      <c r="B9" s="674"/>
      <c r="C9" s="674"/>
      <c r="D9" s="675"/>
      <c r="E9" s="374"/>
      <c r="F9" s="374"/>
      <c r="G9" s="374"/>
    </row>
    <row r="10" spans="1:7" ht="14.25" thickBot="1">
      <c r="A10" s="676" t="s">
        <v>237</v>
      </c>
      <c r="B10" s="677"/>
      <c r="C10" s="677"/>
      <c r="D10" s="678"/>
      <c r="E10" s="374"/>
      <c r="F10" s="374"/>
      <c r="G10" s="374"/>
    </row>
    <row r="11" spans="1:7" ht="70.5" thickBot="1">
      <c r="A11" s="353" t="s">
        <v>228</v>
      </c>
      <c r="B11" s="353" t="s">
        <v>229</v>
      </c>
      <c r="C11" s="353" t="s">
        <v>230</v>
      </c>
      <c r="D11" s="354" t="s">
        <v>231</v>
      </c>
      <c r="E11" s="332" t="s">
        <v>238</v>
      </c>
      <c r="F11" s="332" t="s">
        <v>239</v>
      </c>
      <c r="G11" s="332" t="s">
        <v>240</v>
      </c>
    </row>
    <row r="12" spans="1:7" ht="15.75" thickBot="1">
      <c r="A12" s="670"/>
      <c r="B12" s="671"/>
      <c r="C12" s="671"/>
      <c r="D12" s="672"/>
      <c r="E12" s="504">
        <v>0</v>
      </c>
      <c r="F12" s="355">
        <v>0.1116</v>
      </c>
      <c r="G12" s="356">
        <v>0.0145</v>
      </c>
    </row>
    <row r="13" spans="1:7" ht="13.5">
      <c r="A13" s="505" t="str">
        <f>'Salaries - Year 2'!A13</f>
        <v>Head of School</v>
      </c>
      <c r="B13" s="350">
        <v>1</v>
      </c>
      <c r="C13" s="335">
        <f>('Salaries - Year 2'!C13)*(1+$B$5)</f>
        <v>78030</v>
      </c>
      <c r="D13" s="345">
        <f>B13*C13</f>
        <v>78030</v>
      </c>
      <c r="E13" s="357">
        <f>D13*$E$12</f>
        <v>0</v>
      </c>
      <c r="F13" s="358">
        <f>D13*$F$12</f>
        <v>8708.148000000001</v>
      </c>
      <c r="G13" s="357">
        <f>D13*$G$12</f>
        <v>1131.435</v>
      </c>
    </row>
    <row r="14" spans="1:7" ht="13.5">
      <c r="A14" s="505" t="str">
        <f>'Salaries - Year 2'!A14</f>
        <v>Assistant Head of School</v>
      </c>
      <c r="B14" s="350">
        <v>1</v>
      </c>
      <c r="C14" s="335">
        <f>('Salaries - Year 2'!C14)*(1+$B$5)</f>
        <v>66300</v>
      </c>
      <c r="D14" s="345">
        <f>B14*C14</f>
        <v>66300</v>
      </c>
      <c r="E14" s="357">
        <f>D14*$E$12</f>
        <v>0</v>
      </c>
      <c r="F14" s="358">
        <f>D14*$F$12</f>
        <v>7399.08</v>
      </c>
      <c r="G14" s="357">
        <f>D14*$G$12</f>
        <v>961.35</v>
      </c>
    </row>
    <row r="15" spans="1:7" ht="13.5">
      <c r="A15" s="505" t="str">
        <f>'Salaries - Year 2'!A15</f>
        <v>Student Supports Coordinator</v>
      </c>
      <c r="B15" s="351">
        <v>1</v>
      </c>
      <c r="C15" s="335">
        <f>('Salaries - Year 2'!C15)*(1+$B$5)</f>
        <v>62424</v>
      </c>
      <c r="D15" s="345">
        <f aca="true" t="shared" si="0" ref="D15:D27">B15*C15</f>
        <v>62424</v>
      </c>
      <c r="E15" s="357">
        <f aca="true" t="shared" si="1" ref="E15:E27">D15*$E$12</f>
        <v>0</v>
      </c>
      <c r="F15" s="358">
        <f aca="true" t="shared" si="2" ref="F15:F27">D15*$F$12</f>
        <v>6966.5184</v>
      </c>
      <c r="G15" s="357">
        <f aca="true" t="shared" si="3" ref="G15:G27">D15*$G$12</f>
        <v>905.148</v>
      </c>
    </row>
    <row r="16" spans="1:7" ht="13.5">
      <c r="A16" s="505" t="str">
        <f>'Salaries - Year 2'!A16</f>
        <v>Special Education Teachers</v>
      </c>
      <c r="B16" s="351">
        <v>2</v>
      </c>
      <c r="C16" s="335">
        <f>('Salaries - Year 2'!C16)*(1+$B$5)</f>
        <v>57222</v>
      </c>
      <c r="D16" s="345">
        <f t="shared" si="0"/>
        <v>114444</v>
      </c>
      <c r="E16" s="357">
        <f t="shared" si="1"/>
        <v>0</v>
      </c>
      <c r="F16" s="358">
        <f t="shared" si="2"/>
        <v>12771.9504</v>
      </c>
      <c r="G16" s="357">
        <f t="shared" si="3"/>
        <v>1659.438</v>
      </c>
    </row>
    <row r="17" spans="1:7" ht="13.5">
      <c r="A17" s="505" t="str">
        <f>'Salaries - Year 2'!A17</f>
        <v>Teachers</v>
      </c>
      <c r="B17" s="351">
        <v>8</v>
      </c>
      <c r="C17" s="335">
        <f>('Salaries - Year 2'!C17)*(1+$B$5)</f>
        <v>56181.6</v>
      </c>
      <c r="D17" s="345">
        <f t="shared" si="0"/>
        <v>449452.8</v>
      </c>
      <c r="E17" s="357">
        <f t="shared" si="1"/>
        <v>0</v>
      </c>
      <c r="F17" s="358">
        <f t="shared" si="2"/>
        <v>50158.93248</v>
      </c>
      <c r="G17" s="357">
        <f t="shared" si="3"/>
        <v>6517.0656</v>
      </c>
    </row>
    <row r="18" spans="1:7" ht="13.5">
      <c r="A18" s="505" t="s">
        <v>394</v>
      </c>
      <c r="B18" s="351">
        <v>1</v>
      </c>
      <c r="C18" s="335">
        <v>60000</v>
      </c>
      <c r="D18" s="345">
        <f t="shared" si="0"/>
        <v>60000</v>
      </c>
      <c r="E18" s="357">
        <f t="shared" si="1"/>
        <v>0</v>
      </c>
      <c r="F18" s="358">
        <f t="shared" si="2"/>
        <v>6696</v>
      </c>
      <c r="G18" s="357">
        <f t="shared" si="3"/>
        <v>870</v>
      </c>
    </row>
    <row r="19" spans="1:7" ht="13.5">
      <c r="A19" s="505" t="s">
        <v>486</v>
      </c>
      <c r="B19" s="351">
        <v>1</v>
      </c>
      <c r="C19" s="335">
        <v>52000</v>
      </c>
      <c r="D19" s="345">
        <f t="shared" si="0"/>
        <v>52000</v>
      </c>
      <c r="E19" s="357">
        <f t="shared" si="1"/>
        <v>0</v>
      </c>
      <c r="F19" s="358">
        <f t="shared" si="2"/>
        <v>5803.2</v>
      </c>
      <c r="G19" s="357">
        <f t="shared" si="3"/>
        <v>754</v>
      </c>
    </row>
    <row r="20" spans="1:7" ht="13.5">
      <c r="A20" s="505"/>
      <c r="B20" s="351"/>
      <c r="C20" s="335"/>
      <c r="D20" s="345">
        <f t="shared" si="0"/>
        <v>0</v>
      </c>
      <c r="E20" s="357">
        <f t="shared" si="1"/>
        <v>0</v>
      </c>
      <c r="F20" s="358">
        <f t="shared" si="2"/>
        <v>0</v>
      </c>
      <c r="G20" s="357">
        <f t="shared" si="3"/>
        <v>0</v>
      </c>
    </row>
    <row r="21" spans="1:7" ht="13.5">
      <c r="A21" s="505">
        <f>'Salaries - Year 2'!A21</f>
        <v>0</v>
      </c>
      <c r="B21" s="351"/>
      <c r="C21" s="335">
        <f>('Salaries - Year 2'!C21)*(1+$B$5)</f>
        <v>0</v>
      </c>
      <c r="D21" s="345">
        <f t="shared" si="0"/>
        <v>0</v>
      </c>
      <c r="E21" s="357">
        <f t="shared" si="1"/>
        <v>0</v>
      </c>
      <c r="F21" s="358">
        <f t="shared" si="2"/>
        <v>0</v>
      </c>
      <c r="G21" s="357">
        <f t="shared" si="3"/>
        <v>0</v>
      </c>
    </row>
    <row r="22" spans="1:7" ht="13.5">
      <c r="A22" s="505">
        <f>'Salaries - Year 2'!A22</f>
        <v>0</v>
      </c>
      <c r="B22" s="351"/>
      <c r="C22" s="335">
        <f>('Salaries - Year 2'!C22)*(1+$B$5)</f>
        <v>0</v>
      </c>
      <c r="D22" s="345">
        <f t="shared" si="0"/>
        <v>0</v>
      </c>
      <c r="E22" s="357">
        <f t="shared" si="1"/>
        <v>0</v>
      </c>
      <c r="F22" s="358">
        <f t="shared" si="2"/>
        <v>0</v>
      </c>
      <c r="G22" s="357">
        <f t="shared" si="3"/>
        <v>0</v>
      </c>
    </row>
    <row r="23" spans="1:7" ht="13.5">
      <c r="A23" s="505">
        <f>'Salaries - Year 2'!A23</f>
        <v>0</v>
      </c>
      <c r="B23" s="351"/>
      <c r="C23" s="335">
        <f>('Salaries - Year 2'!C23)*(1+$B$5)</f>
        <v>0</v>
      </c>
      <c r="D23" s="345">
        <f t="shared" si="0"/>
        <v>0</v>
      </c>
      <c r="E23" s="357">
        <f t="shared" si="1"/>
        <v>0</v>
      </c>
      <c r="F23" s="358">
        <f t="shared" si="2"/>
        <v>0</v>
      </c>
      <c r="G23" s="357">
        <f t="shared" si="3"/>
        <v>0</v>
      </c>
    </row>
    <row r="24" spans="1:7" ht="13.5">
      <c r="A24" s="505">
        <f>'Salaries - Year 2'!A24</f>
        <v>0</v>
      </c>
      <c r="B24" s="351"/>
      <c r="C24" s="335">
        <f>('Salaries - Year 2'!C24)*(1+$B$5)</f>
        <v>0</v>
      </c>
      <c r="D24" s="345">
        <f t="shared" si="0"/>
        <v>0</v>
      </c>
      <c r="E24" s="357">
        <f t="shared" si="1"/>
        <v>0</v>
      </c>
      <c r="F24" s="358">
        <f t="shared" si="2"/>
        <v>0</v>
      </c>
      <c r="G24" s="357">
        <f t="shared" si="3"/>
        <v>0</v>
      </c>
    </row>
    <row r="25" spans="1:7" ht="13.5">
      <c r="A25" s="505">
        <f>'Salaries - Year 2'!A25</f>
        <v>0</v>
      </c>
      <c r="B25" s="351"/>
      <c r="C25" s="335">
        <f>('Salaries - Year 2'!C25)*(1+$B$5)</f>
        <v>0</v>
      </c>
      <c r="D25" s="345">
        <f t="shared" si="0"/>
        <v>0</v>
      </c>
      <c r="E25" s="357">
        <f t="shared" si="1"/>
        <v>0</v>
      </c>
      <c r="F25" s="358">
        <f t="shared" si="2"/>
        <v>0</v>
      </c>
      <c r="G25" s="357">
        <f t="shared" si="3"/>
        <v>0</v>
      </c>
    </row>
    <row r="26" spans="1:7" ht="13.5">
      <c r="A26" s="505">
        <f>'Salaries - Year 2'!A26</f>
        <v>0</v>
      </c>
      <c r="B26" s="351"/>
      <c r="C26" s="335">
        <f>('Salaries - Year 2'!C26)*(1+$B$5)</f>
        <v>0</v>
      </c>
      <c r="D26" s="345">
        <f t="shared" si="0"/>
        <v>0</v>
      </c>
      <c r="E26" s="357">
        <f t="shared" si="1"/>
        <v>0</v>
      </c>
      <c r="F26" s="358">
        <f t="shared" si="2"/>
        <v>0</v>
      </c>
      <c r="G26" s="357">
        <f t="shared" si="3"/>
        <v>0</v>
      </c>
    </row>
    <row r="27" spans="1:7" ht="14.25" thickBot="1">
      <c r="A27" s="505">
        <f>'Salaries - Year 2'!A27</f>
        <v>0</v>
      </c>
      <c r="B27" s="351"/>
      <c r="C27" s="335">
        <f>('Salaries - Year 2'!C27)*(1+$B$5)</f>
        <v>0</v>
      </c>
      <c r="D27" s="345">
        <f t="shared" si="0"/>
        <v>0</v>
      </c>
      <c r="E27" s="357">
        <f t="shared" si="1"/>
        <v>0</v>
      </c>
      <c r="F27" s="359">
        <f t="shared" si="2"/>
        <v>0</v>
      </c>
      <c r="G27" s="357">
        <f t="shared" si="3"/>
        <v>0</v>
      </c>
    </row>
    <row r="28" spans="1:7" ht="15" thickBot="1">
      <c r="A28" s="360" t="s">
        <v>241</v>
      </c>
      <c r="B28" s="361">
        <f>SUM(B13:B27)</f>
        <v>15</v>
      </c>
      <c r="C28" s="348"/>
      <c r="D28" s="349">
        <f>SUM(D13:D27)</f>
        <v>882650.8</v>
      </c>
      <c r="E28" s="349">
        <f>SUM(E13:E27)</f>
        <v>0</v>
      </c>
      <c r="F28" s="349">
        <f>SUM(F13:F27)</f>
        <v>98503.82927999999</v>
      </c>
      <c r="G28" s="349">
        <f>SUM(G13:G27)</f>
        <v>12798.4366</v>
      </c>
    </row>
    <row r="29" spans="1:7" ht="12">
      <c r="A29" s="679"/>
      <c r="B29" s="679"/>
      <c r="C29" s="679"/>
      <c r="D29" s="391"/>
      <c r="E29" s="374"/>
      <c r="F29" s="374"/>
      <c r="G29" s="374"/>
    </row>
    <row r="30" spans="1:7" ht="12.75" thickBot="1">
      <c r="A30" s="390"/>
      <c r="B30" s="390"/>
      <c r="C30" s="390"/>
      <c r="D30" s="391"/>
      <c r="E30" s="374"/>
      <c r="F30" s="374"/>
      <c r="G30" s="374"/>
    </row>
    <row r="31" spans="1:7" ht="14.25" thickBot="1">
      <c r="A31" s="673" t="s">
        <v>353</v>
      </c>
      <c r="B31" s="674"/>
      <c r="C31" s="674"/>
      <c r="D31" s="675"/>
      <c r="E31" s="374"/>
      <c r="F31" s="374"/>
      <c r="G31" s="374"/>
    </row>
    <row r="32" spans="1:7" ht="42" thickBot="1">
      <c r="A32" s="676" t="s">
        <v>242</v>
      </c>
      <c r="B32" s="677"/>
      <c r="C32" s="677"/>
      <c r="D32" s="678"/>
      <c r="E32" s="332" t="s">
        <v>243</v>
      </c>
      <c r="F32" s="332" t="s">
        <v>240</v>
      </c>
      <c r="G32" s="374"/>
    </row>
    <row r="33" spans="1:7" ht="15.75" thickBot="1">
      <c r="A33" s="670"/>
      <c r="B33" s="671"/>
      <c r="C33" s="671"/>
      <c r="D33" s="672"/>
      <c r="E33" s="356">
        <v>0.062</v>
      </c>
      <c r="F33" s="356">
        <v>0.0145</v>
      </c>
      <c r="G33" s="374"/>
    </row>
    <row r="34" spans="1:7" ht="13.5">
      <c r="A34" s="505" t="s">
        <v>420</v>
      </c>
      <c r="B34" s="350">
        <v>1</v>
      </c>
      <c r="C34" s="335">
        <v>55000</v>
      </c>
      <c r="D34" s="345">
        <f>B34*C34</f>
        <v>55000</v>
      </c>
      <c r="E34" s="357">
        <f>D34*$E$33</f>
        <v>3410</v>
      </c>
      <c r="F34" s="357">
        <f>D34*$F$33</f>
        <v>797.5</v>
      </c>
      <c r="G34" s="374"/>
    </row>
    <row r="35" spans="1:7" ht="13.5">
      <c r="A35" s="505" t="str">
        <f>'Salaries - Year 2'!A35</f>
        <v>Teachers</v>
      </c>
      <c r="B35" s="350">
        <v>2</v>
      </c>
      <c r="C35" s="335">
        <f>('Salaries - Year 2'!C35)*(1+$B$5)</f>
        <v>56181.6</v>
      </c>
      <c r="D35" s="345">
        <f>B35*C35</f>
        <v>112363.2</v>
      </c>
      <c r="E35" s="357">
        <f>D35*$E$33</f>
        <v>6966.5184</v>
      </c>
      <c r="F35" s="357">
        <f>D35*$F$33</f>
        <v>1629.2664</v>
      </c>
      <c r="G35" s="374"/>
    </row>
    <row r="36" spans="1:7" ht="13.5">
      <c r="A36" s="505" t="s">
        <v>488</v>
      </c>
      <c r="B36" s="351">
        <v>1</v>
      </c>
      <c r="C36" s="335">
        <v>40000</v>
      </c>
      <c r="D36" s="345">
        <f aca="true" t="shared" si="4" ref="D36:D56">B36*C36</f>
        <v>40000</v>
      </c>
      <c r="E36" s="362">
        <f aca="true" t="shared" si="5" ref="E36:E56">D36*$E$33</f>
        <v>2480</v>
      </c>
      <c r="F36" s="362">
        <f aca="true" t="shared" si="6" ref="F36:F56">D36*$F$33</f>
        <v>580</v>
      </c>
      <c r="G36" s="374"/>
    </row>
    <row r="37" spans="1:7" ht="13.5">
      <c r="A37" s="505">
        <f>'Salaries - Year 2'!A37</f>
        <v>0</v>
      </c>
      <c r="B37" s="351"/>
      <c r="C37" s="335">
        <f>('Salaries - Year 2'!C37)*(1+$B$5)</f>
        <v>0</v>
      </c>
      <c r="D37" s="345">
        <f t="shared" si="4"/>
        <v>0</v>
      </c>
      <c r="E37" s="362">
        <f t="shared" si="5"/>
        <v>0</v>
      </c>
      <c r="F37" s="362">
        <f t="shared" si="6"/>
        <v>0</v>
      </c>
      <c r="G37" s="374"/>
    </row>
    <row r="38" spans="1:7" ht="13.5">
      <c r="A38" s="505">
        <v>0</v>
      </c>
      <c r="B38" s="351"/>
      <c r="C38" s="335">
        <v>0</v>
      </c>
      <c r="D38" s="345">
        <f t="shared" si="4"/>
        <v>0</v>
      </c>
      <c r="E38" s="362">
        <f t="shared" si="5"/>
        <v>0</v>
      </c>
      <c r="F38" s="362">
        <f t="shared" si="6"/>
        <v>0</v>
      </c>
      <c r="G38" s="374"/>
    </row>
    <row r="39" spans="1:7" ht="13.5">
      <c r="A39" s="505">
        <f>'Salaries - Year 2'!A39</f>
        <v>0</v>
      </c>
      <c r="B39" s="351"/>
      <c r="C39" s="335">
        <f>('Salaries - Year 2'!C38)*(1+$B$5)</f>
        <v>0</v>
      </c>
      <c r="D39" s="345">
        <f t="shared" si="4"/>
        <v>0</v>
      </c>
      <c r="E39" s="362">
        <f t="shared" si="5"/>
        <v>0</v>
      </c>
      <c r="F39" s="362">
        <f t="shared" si="6"/>
        <v>0</v>
      </c>
      <c r="G39" s="374"/>
    </row>
    <row r="40" spans="1:7" ht="13.5">
      <c r="A40" s="505">
        <f>'Salaries - Year 2'!A40</f>
        <v>0</v>
      </c>
      <c r="B40" s="351"/>
      <c r="C40" s="335">
        <f>('Salaries - Year 2'!C39)*(1+$B$5)</f>
        <v>0</v>
      </c>
      <c r="D40" s="345">
        <f t="shared" si="4"/>
        <v>0</v>
      </c>
      <c r="E40" s="362">
        <f t="shared" si="5"/>
        <v>0</v>
      </c>
      <c r="F40" s="362">
        <f t="shared" si="6"/>
        <v>0</v>
      </c>
      <c r="G40" s="374"/>
    </row>
    <row r="41" spans="1:7" ht="13.5">
      <c r="A41" s="505">
        <f>'Salaries - Year 2'!A41</f>
        <v>0</v>
      </c>
      <c r="B41" s="351"/>
      <c r="C41" s="335">
        <f>('Salaries - Year 2'!C40)*(1+$B$5)</f>
        <v>0</v>
      </c>
      <c r="D41" s="345">
        <f t="shared" si="4"/>
        <v>0</v>
      </c>
      <c r="E41" s="362">
        <f t="shared" si="5"/>
        <v>0</v>
      </c>
      <c r="F41" s="362">
        <f t="shared" si="6"/>
        <v>0</v>
      </c>
      <c r="G41" s="374"/>
    </row>
    <row r="42" spans="1:7" ht="13.5">
      <c r="A42" s="505">
        <f>'Salaries - Year 2'!A42</f>
        <v>0</v>
      </c>
      <c r="B42" s="351"/>
      <c r="C42" s="335">
        <f>('Salaries - Year 2'!C41)*(1+$B$5)</f>
        <v>0</v>
      </c>
      <c r="D42" s="345">
        <f t="shared" si="4"/>
        <v>0</v>
      </c>
      <c r="E42" s="362">
        <f t="shared" si="5"/>
        <v>0</v>
      </c>
      <c r="F42" s="362">
        <f t="shared" si="6"/>
        <v>0</v>
      </c>
      <c r="G42" s="374"/>
    </row>
    <row r="43" spans="1:7" ht="13.5">
      <c r="A43" s="505">
        <f>'Salaries - Year 2'!A43</f>
        <v>0</v>
      </c>
      <c r="B43" s="351"/>
      <c r="C43" s="335">
        <f>('Salaries - Year 2'!C42)*(1+$B$5)</f>
        <v>0</v>
      </c>
      <c r="D43" s="345">
        <f t="shared" si="4"/>
        <v>0</v>
      </c>
      <c r="E43" s="362">
        <f t="shared" si="5"/>
        <v>0</v>
      </c>
      <c r="F43" s="362">
        <f t="shared" si="6"/>
        <v>0</v>
      </c>
      <c r="G43" s="374"/>
    </row>
    <row r="44" spans="1:7" ht="13.5">
      <c r="A44" s="505">
        <f>'Salaries - Year 2'!A44</f>
        <v>0</v>
      </c>
      <c r="B44" s="351"/>
      <c r="C44" s="335">
        <v>0</v>
      </c>
      <c r="D44" s="345">
        <f t="shared" si="4"/>
        <v>0</v>
      </c>
      <c r="E44" s="362">
        <f t="shared" si="5"/>
        <v>0</v>
      </c>
      <c r="F44" s="362">
        <f t="shared" si="6"/>
        <v>0</v>
      </c>
      <c r="G44" s="374"/>
    </row>
    <row r="45" spans="1:7" ht="13.5">
      <c r="A45" s="505">
        <f>'Salaries - Year 2'!A45</f>
        <v>0</v>
      </c>
      <c r="B45" s="351"/>
      <c r="C45" s="335">
        <f>('Salaries - Year 2'!C44)*(1+$B$5)</f>
        <v>0</v>
      </c>
      <c r="D45" s="345">
        <f t="shared" si="4"/>
        <v>0</v>
      </c>
      <c r="E45" s="362">
        <f t="shared" si="5"/>
        <v>0</v>
      </c>
      <c r="F45" s="362">
        <f t="shared" si="6"/>
        <v>0</v>
      </c>
      <c r="G45" s="374"/>
    </row>
    <row r="46" spans="1:7" ht="13.5">
      <c r="A46" s="505">
        <f>'Salaries - Year 2'!A46</f>
        <v>0</v>
      </c>
      <c r="B46" s="351"/>
      <c r="C46" s="335">
        <f>('Salaries - Year 2'!C45)*(1+$B$5)</f>
        <v>0</v>
      </c>
      <c r="D46" s="345">
        <f t="shared" si="4"/>
        <v>0</v>
      </c>
      <c r="E46" s="362">
        <f t="shared" si="5"/>
        <v>0</v>
      </c>
      <c r="F46" s="362">
        <f t="shared" si="6"/>
        <v>0</v>
      </c>
      <c r="G46" s="374"/>
    </row>
    <row r="47" spans="1:7" ht="13.5">
      <c r="A47" s="505">
        <f>'Salaries - Year 2'!A47</f>
        <v>0</v>
      </c>
      <c r="B47" s="351"/>
      <c r="C47" s="335">
        <f>('Salaries - Year 2'!C46)*(1+$B$5)</f>
        <v>0</v>
      </c>
      <c r="D47" s="345">
        <f t="shared" si="4"/>
        <v>0</v>
      </c>
      <c r="E47" s="362">
        <f t="shared" si="5"/>
        <v>0</v>
      </c>
      <c r="F47" s="362">
        <f t="shared" si="6"/>
        <v>0</v>
      </c>
      <c r="G47" s="374"/>
    </row>
    <row r="48" spans="1:7" ht="13.5">
      <c r="A48" s="505">
        <f>'Salaries - Year 2'!A48</f>
        <v>0</v>
      </c>
      <c r="B48" s="351"/>
      <c r="C48" s="335">
        <f>('Salaries - Year 2'!C47)*(1+$B$5)</f>
        <v>0</v>
      </c>
      <c r="D48" s="345">
        <f t="shared" si="4"/>
        <v>0</v>
      </c>
      <c r="E48" s="362">
        <f t="shared" si="5"/>
        <v>0</v>
      </c>
      <c r="F48" s="362">
        <f t="shared" si="6"/>
        <v>0</v>
      </c>
      <c r="G48" s="374"/>
    </row>
    <row r="49" spans="1:7" ht="13.5">
      <c r="A49" s="505">
        <f>'Salaries - Year 2'!A49</f>
        <v>0</v>
      </c>
      <c r="B49" s="352"/>
      <c r="C49" s="335"/>
      <c r="D49" s="345">
        <f t="shared" si="4"/>
        <v>0</v>
      </c>
      <c r="E49" s="362">
        <f t="shared" si="5"/>
        <v>0</v>
      </c>
      <c r="F49" s="362">
        <f t="shared" si="6"/>
        <v>0</v>
      </c>
      <c r="G49" s="374"/>
    </row>
    <row r="50" spans="1:7" ht="13.5">
      <c r="A50" s="505">
        <f>'Salaries - Year 2'!A50</f>
        <v>0</v>
      </c>
      <c r="B50" s="352"/>
      <c r="C50" s="335">
        <f>('Salaries - Year 2'!C49)*(1+$B$5)</f>
        <v>0</v>
      </c>
      <c r="D50" s="345">
        <f t="shared" si="4"/>
        <v>0</v>
      </c>
      <c r="E50" s="362">
        <f t="shared" si="5"/>
        <v>0</v>
      </c>
      <c r="F50" s="362">
        <f t="shared" si="6"/>
        <v>0</v>
      </c>
      <c r="G50" s="374"/>
    </row>
    <row r="51" spans="1:7" ht="13.5">
      <c r="A51" s="505">
        <f>'Salaries - Year 2'!A51</f>
        <v>0</v>
      </c>
      <c r="B51" s="352"/>
      <c r="C51" s="335">
        <f>('Salaries - Year 2'!C50)*(1+$B$5)</f>
        <v>0</v>
      </c>
      <c r="D51" s="345">
        <f t="shared" si="4"/>
        <v>0</v>
      </c>
      <c r="E51" s="362">
        <f t="shared" si="5"/>
        <v>0</v>
      </c>
      <c r="F51" s="362">
        <f t="shared" si="6"/>
        <v>0</v>
      </c>
      <c r="G51" s="374"/>
    </row>
    <row r="52" spans="1:7" ht="13.5">
      <c r="A52" s="505">
        <f>'Salaries - Year 2'!A52</f>
        <v>0</v>
      </c>
      <c r="B52" s="352"/>
      <c r="C52" s="335">
        <f>('Salaries - Year 2'!C51)*(1+$B$5)</f>
        <v>0</v>
      </c>
      <c r="D52" s="345">
        <f t="shared" si="4"/>
        <v>0</v>
      </c>
      <c r="E52" s="362">
        <f t="shared" si="5"/>
        <v>0</v>
      </c>
      <c r="F52" s="362">
        <f t="shared" si="6"/>
        <v>0</v>
      </c>
      <c r="G52" s="374"/>
    </row>
    <row r="53" spans="1:7" ht="13.5">
      <c r="A53" s="505">
        <f>'Salaries - Year 2'!A53</f>
        <v>0</v>
      </c>
      <c r="B53" s="352"/>
      <c r="C53" s="335">
        <f>('Salaries - Year 2'!C52)*(1+$B$5)</f>
        <v>0</v>
      </c>
      <c r="D53" s="345">
        <f t="shared" si="4"/>
        <v>0</v>
      </c>
      <c r="E53" s="362">
        <f t="shared" si="5"/>
        <v>0</v>
      </c>
      <c r="F53" s="362">
        <f t="shared" si="6"/>
        <v>0</v>
      </c>
      <c r="G53" s="374"/>
    </row>
    <row r="54" spans="1:7" ht="13.5">
      <c r="A54" s="505">
        <f>'Salaries - Year 2'!A54</f>
        <v>0</v>
      </c>
      <c r="B54" s="352"/>
      <c r="C54" s="335">
        <f>('Salaries - Year 2'!C53)*(1+$B$5)</f>
        <v>0</v>
      </c>
      <c r="D54" s="345">
        <f t="shared" si="4"/>
        <v>0</v>
      </c>
      <c r="E54" s="362">
        <f t="shared" si="5"/>
        <v>0</v>
      </c>
      <c r="F54" s="362">
        <f t="shared" si="6"/>
        <v>0</v>
      </c>
      <c r="G54" s="374"/>
    </row>
    <row r="55" spans="1:7" ht="13.5">
      <c r="A55" s="505">
        <f>'Salaries - Year 2'!A55</f>
        <v>0</v>
      </c>
      <c r="B55" s="352"/>
      <c r="C55" s="335">
        <f>('Salaries - Year 2'!C54)*(1+$B$5)</f>
        <v>0</v>
      </c>
      <c r="D55" s="345">
        <f t="shared" si="4"/>
        <v>0</v>
      </c>
      <c r="E55" s="362">
        <f t="shared" si="5"/>
        <v>0</v>
      </c>
      <c r="F55" s="362">
        <f t="shared" si="6"/>
        <v>0</v>
      </c>
      <c r="G55" s="374"/>
    </row>
    <row r="56" spans="1:7" ht="14.25" thickBot="1">
      <c r="A56" s="505">
        <f>'Salaries - Year 2'!A56</f>
        <v>0</v>
      </c>
      <c r="B56" s="352"/>
      <c r="C56" s="335">
        <f>('Salaries - Year 2'!C56)*(1+$B$5)</f>
        <v>0</v>
      </c>
      <c r="D56" s="345">
        <f t="shared" si="4"/>
        <v>0</v>
      </c>
      <c r="E56" s="362">
        <f t="shared" si="5"/>
        <v>0</v>
      </c>
      <c r="F56" s="362">
        <f t="shared" si="6"/>
        <v>0</v>
      </c>
      <c r="G56" s="374"/>
    </row>
    <row r="57" spans="1:7" ht="15" thickBot="1">
      <c r="A57" s="360" t="s">
        <v>241</v>
      </c>
      <c r="B57" s="363">
        <f>SUM(B34:B56)</f>
        <v>4</v>
      </c>
      <c r="C57" s="364"/>
      <c r="D57" s="349">
        <f>SUM(D34:D56)</f>
        <v>207363.2</v>
      </c>
      <c r="E57" s="349">
        <f>SUM(E34:E56)</f>
        <v>12856.5184</v>
      </c>
      <c r="F57" s="349">
        <f>SUM(F34:F56)</f>
        <v>3006.7664</v>
      </c>
      <c r="G57" s="374"/>
    </row>
    <row r="58" spans="1:7" ht="12.75" thickBot="1">
      <c r="A58" s="374"/>
      <c r="B58" s="374"/>
      <c r="C58" s="374"/>
      <c r="D58" s="374"/>
      <c r="E58" s="374"/>
      <c r="F58" s="374"/>
      <c r="G58" s="374"/>
    </row>
    <row r="59" spans="1:7" ht="15" thickBot="1">
      <c r="A59" s="365" t="s">
        <v>6</v>
      </c>
      <c r="B59" s="366" t="s">
        <v>47</v>
      </c>
      <c r="C59" s="374"/>
      <c r="D59" s="374"/>
      <c r="E59" s="374"/>
      <c r="F59" s="374"/>
      <c r="G59" s="374"/>
    </row>
    <row r="60" spans="1:7" ht="15" thickBot="1">
      <c r="A60" s="367" t="s">
        <v>244</v>
      </c>
      <c r="B60" s="349">
        <f>D28</f>
        <v>882650.8</v>
      </c>
      <c r="C60" s="374"/>
      <c r="D60" s="374"/>
      <c r="E60" s="374"/>
      <c r="F60" s="374"/>
      <c r="G60" s="374"/>
    </row>
    <row r="61" spans="1:7" ht="15" thickBot="1">
      <c r="A61" s="368" t="s">
        <v>245</v>
      </c>
      <c r="B61" s="349">
        <f>D57</f>
        <v>207363.2</v>
      </c>
      <c r="C61" s="374"/>
      <c r="D61" s="374"/>
      <c r="E61" s="374"/>
      <c r="F61" s="374"/>
      <c r="G61" s="374"/>
    </row>
    <row r="62" spans="1:7" ht="15" thickBot="1">
      <c r="A62" s="369" t="s">
        <v>246</v>
      </c>
      <c r="B62" s="349">
        <f>SUM(B60:B61)</f>
        <v>1090014</v>
      </c>
      <c r="C62" s="374"/>
      <c r="D62" s="374"/>
      <c r="E62" s="374"/>
      <c r="F62" s="374"/>
      <c r="G62" s="374"/>
    </row>
    <row r="63" spans="1:7" ht="12">
      <c r="A63" s="374"/>
      <c r="B63" s="374"/>
      <c r="C63" s="374"/>
      <c r="D63" s="374"/>
      <c r="E63" s="374"/>
      <c r="F63" s="374"/>
      <c r="G63" s="374"/>
    </row>
    <row r="64" spans="1:7" ht="12.75" thickBot="1">
      <c r="A64" s="374"/>
      <c r="B64" s="374"/>
      <c r="C64" s="374"/>
      <c r="D64" s="374"/>
      <c r="E64" s="374"/>
      <c r="F64" s="374"/>
      <c r="G64" s="374"/>
    </row>
    <row r="65" spans="1:2" ht="15" thickBot="1">
      <c r="A65" s="365" t="s">
        <v>247</v>
      </c>
      <c r="B65" s="366" t="s">
        <v>47</v>
      </c>
    </row>
    <row r="66" spans="1:2" ht="15" thickBot="1">
      <c r="A66" s="367" t="s">
        <v>244</v>
      </c>
      <c r="B66" s="349">
        <f>G28</f>
        <v>12798.4366</v>
      </c>
    </row>
    <row r="67" spans="1:2" ht="15" thickBot="1">
      <c r="A67" s="368" t="s">
        <v>245</v>
      </c>
      <c r="B67" s="349">
        <f>F57</f>
        <v>3006.7664</v>
      </c>
    </row>
    <row r="68" spans="1:2" ht="15" thickBot="1">
      <c r="A68" s="369" t="s">
        <v>248</v>
      </c>
      <c r="B68" s="349">
        <f>SUM(B66:B67)</f>
        <v>15805.203000000001</v>
      </c>
    </row>
    <row r="70" ht="12.75" thickBot="1"/>
    <row r="71" spans="1:2" ht="15" thickBot="1">
      <c r="A71" s="365" t="s">
        <v>24</v>
      </c>
      <c r="B71" s="366" t="s">
        <v>47</v>
      </c>
    </row>
    <row r="72" spans="1:2" ht="15" thickBot="1">
      <c r="A72" s="367" t="s">
        <v>249</v>
      </c>
      <c r="B72" s="370">
        <f>B28</f>
        <v>15</v>
      </c>
    </row>
    <row r="73" spans="1:2" ht="15" thickBot="1">
      <c r="A73" s="367" t="s">
        <v>250</v>
      </c>
      <c r="B73" s="370">
        <f>B57</f>
        <v>4</v>
      </c>
    </row>
    <row r="74" spans="1:2" ht="15" thickBot="1">
      <c r="A74" s="369" t="s">
        <v>251</v>
      </c>
      <c r="B74" s="370">
        <f>SUM(B72:B73)</f>
        <v>19</v>
      </c>
    </row>
  </sheetData>
  <sheetProtection password="CC59" sheet="1" formatColumns="0" formatRows="0" insertColumns="0" insertRows="0"/>
  <mergeCells count="7">
    <mergeCell ref="A33:D33"/>
    <mergeCell ref="A9:D9"/>
    <mergeCell ref="A10:D10"/>
    <mergeCell ref="A12:D12"/>
    <mergeCell ref="A29:C29"/>
    <mergeCell ref="A31:D31"/>
    <mergeCell ref="A32:D32"/>
  </mergeCells>
  <printOptions/>
  <pageMargins left="0.7" right="0.7" top="0.75" bottom="0.75" header="0.3" footer="0.3"/>
  <pageSetup horizontalDpi="200" verticalDpi="200" orientation="portrait" scale="60" r:id="rId1"/>
</worksheet>
</file>

<file path=xl/worksheets/sheet6.xml><?xml version="1.0" encoding="utf-8"?>
<worksheet xmlns="http://schemas.openxmlformats.org/spreadsheetml/2006/main" xmlns:r="http://schemas.openxmlformats.org/officeDocument/2006/relationships">
  <sheetPr codeName="Sheet6"/>
  <dimension ref="A1:G74"/>
  <sheetViews>
    <sheetView zoomScalePageLayoutView="0" workbookViewId="0" topLeftCell="A28">
      <selection activeCell="C37" sqref="C37"/>
    </sheetView>
  </sheetViews>
  <sheetFormatPr defaultColWidth="8.8515625" defaultRowHeight="12.75"/>
  <cols>
    <col min="1" max="1" width="60.57421875" style="195" customWidth="1"/>
    <col min="2" max="2" width="13.00390625" style="195" customWidth="1"/>
    <col min="3" max="3" width="11.57421875" style="195" customWidth="1"/>
    <col min="4" max="4" width="15.57421875" style="195" customWidth="1"/>
    <col min="5" max="5" width="16.8515625" style="195" customWidth="1"/>
    <col min="6" max="6" width="17.421875" style="195" customWidth="1"/>
    <col min="7" max="7" width="14.421875" style="195" customWidth="1"/>
    <col min="8" max="16384" width="8.8515625" style="195" customWidth="1"/>
  </cols>
  <sheetData>
    <row r="1" ht="13.5" thickBot="1">
      <c r="A1" s="383" t="str">
        <f>'Budget with Assumptions'!A2</f>
        <v>Chicago Preparatory Charter Middle School</v>
      </c>
    </row>
    <row r="4" ht="12.75" thickBot="1"/>
    <row r="5" spans="1:2" ht="63" thickBot="1">
      <c r="A5" s="373" t="s">
        <v>252</v>
      </c>
      <c r="B5" s="371">
        <v>0.02</v>
      </c>
    </row>
    <row r="8" ht="12.75" thickBot="1">
      <c r="A8" s="195" t="str">
        <f>Instructions!B1</f>
        <v>Chicago Preparatory Charter Middle School</v>
      </c>
    </row>
    <row r="9" spans="1:7" ht="14.25" thickBot="1">
      <c r="A9" s="673" t="s">
        <v>355</v>
      </c>
      <c r="B9" s="674"/>
      <c r="C9" s="674"/>
      <c r="D9" s="675"/>
      <c r="E9" s="374"/>
      <c r="F9" s="374"/>
      <c r="G9" s="374"/>
    </row>
    <row r="10" spans="1:7" ht="14.25" thickBot="1">
      <c r="A10" s="676" t="s">
        <v>237</v>
      </c>
      <c r="B10" s="677"/>
      <c r="C10" s="677"/>
      <c r="D10" s="678"/>
      <c r="E10" s="374"/>
      <c r="F10" s="374"/>
      <c r="G10" s="374"/>
    </row>
    <row r="11" spans="1:7" ht="70.5" thickBot="1">
      <c r="A11" s="353" t="s">
        <v>228</v>
      </c>
      <c r="B11" s="353" t="s">
        <v>229</v>
      </c>
      <c r="C11" s="353" t="s">
        <v>230</v>
      </c>
      <c r="D11" s="354" t="s">
        <v>231</v>
      </c>
      <c r="E11" s="332" t="s">
        <v>238</v>
      </c>
      <c r="F11" s="332" t="s">
        <v>239</v>
      </c>
      <c r="G11" s="332" t="s">
        <v>240</v>
      </c>
    </row>
    <row r="12" spans="1:7" ht="15.75" thickBot="1">
      <c r="A12" s="670"/>
      <c r="B12" s="671"/>
      <c r="C12" s="671"/>
      <c r="D12" s="672"/>
      <c r="E12" s="504">
        <v>0</v>
      </c>
      <c r="F12" s="355">
        <v>0.1116</v>
      </c>
      <c r="G12" s="356">
        <v>0.0145</v>
      </c>
    </row>
    <row r="13" spans="1:7" ht="13.5">
      <c r="A13" s="505" t="str">
        <f>'Salaries - Year 3'!A13</f>
        <v>Head of School</v>
      </c>
      <c r="B13" s="350">
        <v>1</v>
      </c>
      <c r="C13" s="335">
        <f>('Salaries - Year 3'!C13)*(1+$B$5)</f>
        <v>79590.6</v>
      </c>
      <c r="D13" s="345">
        <f>B13*C13</f>
        <v>79590.6</v>
      </c>
      <c r="E13" s="357">
        <f>D13*$E$12</f>
        <v>0</v>
      </c>
      <c r="F13" s="358">
        <f>D13*$F$12</f>
        <v>8882.31096</v>
      </c>
      <c r="G13" s="357">
        <f>D13*$G$12</f>
        <v>1154.0637000000002</v>
      </c>
    </row>
    <row r="14" spans="1:7" ht="13.5">
      <c r="A14" s="505" t="str">
        <f>'Salaries - Year 3'!A14</f>
        <v>Assistant Head of School</v>
      </c>
      <c r="B14" s="350">
        <v>1</v>
      </c>
      <c r="C14" s="335">
        <f>('Salaries - Year 3'!C14)*(1+$B$5)</f>
        <v>67626</v>
      </c>
      <c r="D14" s="345">
        <f>B14*C14</f>
        <v>67626</v>
      </c>
      <c r="E14" s="357">
        <f>D14*$E$12</f>
        <v>0</v>
      </c>
      <c r="F14" s="358">
        <f>D14*$F$12</f>
        <v>7547.0616</v>
      </c>
      <c r="G14" s="357">
        <f>D14*$G$12</f>
        <v>980.577</v>
      </c>
    </row>
    <row r="15" spans="1:7" ht="13.5">
      <c r="A15" s="505" t="str">
        <f>'Salaries - Year 3'!A15</f>
        <v>Student Supports Coordinator</v>
      </c>
      <c r="B15" s="351">
        <v>1</v>
      </c>
      <c r="C15" s="335">
        <f>('Salaries - Year 3'!C15)*(1+$B$5)</f>
        <v>63672.48</v>
      </c>
      <c r="D15" s="345">
        <f aca="true" t="shared" si="0" ref="D15:D27">B15*C15</f>
        <v>63672.48</v>
      </c>
      <c r="E15" s="357">
        <f aca="true" t="shared" si="1" ref="E15:E27">D15*$E$12</f>
        <v>0</v>
      </c>
      <c r="F15" s="358">
        <f aca="true" t="shared" si="2" ref="F15:F27">D15*$F$12</f>
        <v>7105.848768000001</v>
      </c>
      <c r="G15" s="357">
        <f aca="true" t="shared" si="3" ref="G15:G27">D15*$G$12</f>
        <v>923.2509600000001</v>
      </c>
    </row>
    <row r="16" spans="1:7" ht="13.5">
      <c r="A16" s="505" t="str">
        <f>'Salaries - Year 3'!A16</f>
        <v>Special Education Teachers</v>
      </c>
      <c r="B16" s="351">
        <v>2</v>
      </c>
      <c r="C16" s="335">
        <f>('Salaries - Year 3'!C16)*(1+$B$5)</f>
        <v>58366.44</v>
      </c>
      <c r="D16" s="345">
        <f t="shared" si="0"/>
        <v>116732.88</v>
      </c>
      <c r="E16" s="357">
        <f t="shared" si="1"/>
        <v>0</v>
      </c>
      <c r="F16" s="358">
        <f t="shared" si="2"/>
        <v>13027.389408000001</v>
      </c>
      <c r="G16" s="357">
        <f t="shared" si="3"/>
        <v>1692.62676</v>
      </c>
    </row>
    <row r="17" spans="1:7" ht="13.5">
      <c r="A17" s="505" t="str">
        <f>'Salaries - Year 3'!A17</f>
        <v>Teachers</v>
      </c>
      <c r="B17" s="351">
        <v>8</v>
      </c>
      <c r="C17" s="335">
        <f>('Salaries - Year 3'!C17)*(1+$B$5)</f>
        <v>57305.231999999996</v>
      </c>
      <c r="D17" s="345">
        <f t="shared" si="0"/>
        <v>458441.85599999997</v>
      </c>
      <c r="E17" s="357">
        <f t="shared" si="1"/>
        <v>0</v>
      </c>
      <c r="F17" s="358">
        <f t="shared" si="2"/>
        <v>51162.1111296</v>
      </c>
      <c r="G17" s="357">
        <f t="shared" si="3"/>
        <v>6647.4069119999995</v>
      </c>
    </row>
    <row r="18" spans="1:7" ht="13.5">
      <c r="A18" s="505" t="str">
        <f>'Salaries - Year 3'!A18</f>
        <v>Dean of Students</v>
      </c>
      <c r="B18" s="351">
        <v>1</v>
      </c>
      <c r="C18" s="335">
        <f>('Salaries - Year 3'!C18)*(1+$B$5)</f>
        <v>61200</v>
      </c>
      <c r="D18" s="345">
        <f t="shared" si="0"/>
        <v>61200</v>
      </c>
      <c r="E18" s="357">
        <f t="shared" si="1"/>
        <v>0</v>
      </c>
      <c r="F18" s="358">
        <f t="shared" si="2"/>
        <v>6829.92</v>
      </c>
      <c r="G18" s="357">
        <f t="shared" si="3"/>
        <v>887.4000000000001</v>
      </c>
    </row>
    <row r="19" spans="1:7" ht="13.5">
      <c r="A19" s="505" t="str">
        <f>'Salaries - Year 3'!A19</f>
        <v>Electives Teachers </v>
      </c>
      <c r="B19" s="351">
        <v>1</v>
      </c>
      <c r="C19" s="335">
        <f>('Salaries - Year 3'!C19)*(1+$B$5)</f>
        <v>53040</v>
      </c>
      <c r="D19" s="345">
        <f t="shared" si="0"/>
        <v>53040</v>
      </c>
      <c r="E19" s="357">
        <f t="shared" si="1"/>
        <v>0</v>
      </c>
      <c r="F19" s="358">
        <f t="shared" si="2"/>
        <v>5919.264</v>
      </c>
      <c r="G19" s="357">
        <f t="shared" si="3"/>
        <v>769.08</v>
      </c>
    </row>
    <row r="20" spans="1:7" ht="13.5">
      <c r="A20" s="505">
        <f>'Salaries - Year 3'!A20</f>
        <v>0</v>
      </c>
      <c r="B20" s="351"/>
      <c r="C20" s="335">
        <f>('Salaries - Year 3'!C20)*(1+$B$5)</f>
        <v>0</v>
      </c>
      <c r="D20" s="345">
        <f t="shared" si="0"/>
        <v>0</v>
      </c>
      <c r="E20" s="357">
        <f t="shared" si="1"/>
        <v>0</v>
      </c>
      <c r="F20" s="358">
        <f t="shared" si="2"/>
        <v>0</v>
      </c>
      <c r="G20" s="357">
        <f t="shared" si="3"/>
        <v>0</v>
      </c>
    </row>
    <row r="21" spans="1:7" ht="13.5">
      <c r="A21" s="505">
        <f>'Salaries - Year 3'!A21</f>
        <v>0</v>
      </c>
      <c r="B21" s="351"/>
      <c r="C21" s="335">
        <f>('Salaries - Year 3'!C21)*(1+$B$5)</f>
        <v>0</v>
      </c>
      <c r="D21" s="345">
        <f t="shared" si="0"/>
        <v>0</v>
      </c>
      <c r="E21" s="357">
        <f t="shared" si="1"/>
        <v>0</v>
      </c>
      <c r="F21" s="358">
        <f t="shared" si="2"/>
        <v>0</v>
      </c>
      <c r="G21" s="357">
        <f t="shared" si="3"/>
        <v>0</v>
      </c>
    </row>
    <row r="22" spans="1:7" ht="13.5">
      <c r="A22" s="505">
        <f>'Salaries - Year 3'!A22</f>
        <v>0</v>
      </c>
      <c r="B22" s="351"/>
      <c r="C22" s="335">
        <f>('Salaries - Year 3'!C22)*(1+$B$5)</f>
        <v>0</v>
      </c>
      <c r="D22" s="345">
        <f t="shared" si="0"/>
        <v>0</v>
      </c>
      <c r="E22" s="357">
        <f t="shared" si="1"/>
        <v>0</v>
      </c>
      <c r="F22" s="358">
        <f t="shared" si="2"/>
        <v>0</v>
      </c>
      <c r="G22" s="357">
        <f t="shared" si="3"/>
        <v>0</v>
      </c>
    </row>
    <row r="23" spans="1:7" ht="13.5">
      <c r="A23" s="505">
        <f>'Salaries - Year 3'!A23</f>
        <v>0</v>
      </c>
      <c r="B23" s="351"/>
      <c r="C23" s="335">
        <f>('Salaries - Year 3'!C23)*(1+$B$5)</f>
        <v>0</v>
      </c>
      <c r="D23" s="345">
        <f t="shared" si="0"/>
        <v>0</v>
      </c>
      <c r="E23" s="357">
        <f t="shared" si="1"/>
        <v>0</v>
      </c>
      <c r="F23" s="358">
        <f t="shared" si="2"/>
        <v>0</v>
      </c>
      <c r="G23" s="357">
        <f t="shared" si="3"/>
        <v>0</v>
      </c>
    </row>
    <row r="24" spans="1:7" ht="13.5">
      <c r="A24" s="505">
        <f>'Salaries - Year 3'!A24</f>
        <v>0</v>
      </c>
      <c r="B24" s="351"/>
      <c r="C24" s="335">
        <f>('Salaries - Year 3'!C24)*(1+$B$5)</f>
        <v>0</v>
      </c>
      <c r="D24" s="345">
        <f t="shared" si="0"/>
        <v>0</v>
      </c>
      <c r="E24" s="357">
        <f t="shared" si="1"/>
        <v>0</v>
      </c>
      <c r="F24" s="358">
        <f t="shared" si="2"/>
        <v>0</v>
      </c>
      <c r="G24" s="357">
        <f t="shared" si="3"/>
        <v>0</v>
      </c>
    </row>
    <row r="25" spans="1:7" ht="13.5">
      <c r="A25" s="505">
        <f>'Salaries - Year 3'!A25</f>
        <v>0</v>
      </c>
      <c r="B25" s="351"/>
      <c r="C25" s="335">
        <f>('Salaries - Year 3'!C25)*(1+$B$5)</f>
        <v>0</v>
      </c>
      <c r="D25" s="345">
        <f t="shared" si="0"/>
        <v>0</v>
      </c>
      <c r="E25" s="357">
        <f t="shared" si="1"/>
        <v>0</v>
      </c>
      <c r="F25" s="358">
        <f t="shared" si="2"/>
        <v>0</v>
      </c>
      <c r="G25" s="357">
        <f t="shared" si="3"/>
        <v>0</v>
      </c>
    </row>
    <row r="26" spans="1:7" ht="13.5">
      <c r="A26" s="505">
        <f>'Salaries - Year 3'!A26</f>
        <v>0</v>
      </c>
      <c r="B26" s="351"/>
      <c r="C26" s="335">
        <f>('Salaries - Year 3'!C26)*(1+$B$5)</f>
        <v>0</v>
      </c>
      <c r="D26" s="345">
        <f t="shared" si="0"/>
        <v>0</v>
      </c>
      <c r="E26" s="357">
        <f t="shared" si="1"/>
        <v>0</v>
      </c>
      <c r="F26" s="358">
        <f t="shared" si="2"/>
        <v>0</v>
      </c>
      <c r="G26" s="357">
        <f t="shared" si="3"/>
        <v>0</v>
      </c>
    </row>
    <row r="27" spans="1:7" ht="14.25" thickBot="1">
      <c r="A27" s="505">
        <f>'Salaries - Year 3'!A27</f>
        <v>0</v>
      </c>
      <c r="B27" s="351"/>
      <c r="C27" s="335">
        <f>('Salaries - Year 3'!C27)*(1+$B$5)</f>
        <v>0</v>
      </c>
      <c r="D27" s="345">
        <f t="shared" si="0"/>
        <v>0</v>
      </c>
      <c r="E27" s="357">
        <f t="shared" si="1"/>
        <v>0</v>
      </c>
      <c r="F27" s="359">
        <f t="shared" si="2"/>
        <v>0</v>
      </c>
      <c r="G27" s="357">
        <f t="shared" si="3"/>
        <v>0</v>
      </c>
    </row>
    <row r="28" spans="1:7" ht="15" thickBot="1">
      <c r="A28" s="360" t="s">
        <v>241</v>
      </c>
      <c r="B28" s="361">
        <f>SUM(B13:B27)</f>
        <v>15</v>
      </c>
      <c r="C28" s="348"/>
      <c r="D28" s="349">
        <f>SUM(D13:D27)</f>
        <v>900303.816</v>
      </c>
      <c r="E28" s="349">
        <f>SUM(E13:E27)</f>
        <v>0</v>
      </c>
      <c r="F28" s="349">
        <f>SUM(F13:F27)</f>
        <v>100473.9058656</v>
      </c>
      <c r="G28" s="349">
        <f>SUM(G13:G27)</f>
        <v>13054.405331999998</v>
      </c>
    </row>
    <row r="29" spans="1:7" ht="12">
      <c r="A29" s="679"/>
      <c r="B29" s="679"/>
      <c r="C29" s="679"/>
      <c r="D29" s="391"/>
      <c r="E29" s="374"/>
      <c r="F29" s="374"/>
      <c r="G29" s="374"/>
    </row>
    <row r="30" spans="1:7" ht="12.75" thickBot="1">
      <c r="A30" s="390"/>
      <c r="B30" s="390"/>
      <c r="C30" s="390"/>
      <c r="D30" s="391"/>
      <c r="E30" s="374"/>
      <c r="F30" s="374"/>
      <c r="G30" s="374"/>
    </row>
    <row r="31" spans="1:7" ht="14.25" thickBot="1">
      <c r="A31" s="673" t="s">
        <v>356</v>
      </c>
      <c r="B31" s="674"/>
      <c r="C31" s="674"/>
      <c r="D31" s="675"/>
      <c r="E31" s="374"/>
      <c r="F31" s="374"/>
      <c r="G31" s="374"/>
    </row>
    <row r="32" spans="1:7" ht="42" thickBot="1">
      <c r="A32" s="676" t="s">
        <v>242</v>
      </c>
      <c r="B32" s="677"/>
      <c r="C32" s="677"/>
      <c r="D32" s="678"/>
      <c r="E32" s="332" t="s">
        <v>243</v>
      </c>
      <c r="F32" s="332" t="s">
        <v>240</v>
      </c>
      <c r="G32" s="374"/>
    </row>
    <row r="33" spans="1:7" ht="15.75" thickBot="1">
      <c r="A33" s="670"/>
      <c r="B33" s="671"/>
      <c r="C33" s="671"/>
      <c r="D33" s="672"/>
      <c r="E33" s="356">
        <v>0.062</v>
      </c>
      <c r="F33" s="356">
        <v>0.0145</v>
      </c>
      <c r="G33" s="374"/>
    </row>
    <row r="34" spans="1:7" ht="13.5">
      <c r="A34" s="505" t="str">
        <f>'Salaries - Year 3'!A34</f>
        <v>Manager of Operations</v>
      </c>
      <c r="B34" s="350">
        <v>1</v>
      </c>
      <c r="C34" s="335">
        <f>('Salaries - Year 3'!C34)*(1+$B$5)</f>
        <v>56100</v>
      </c>
      <c r="D34" s="345">
        <f>B34*C34</f>
        <v>56100</v>
      </c>
      <c r="E34" s="357">
        <f>D34*$E$33</f>
        <v>3478.2</v>
      </c>
      <c r="F34" s="357">
        <f>D34*$F$33</f>
        <v>813.45</v>
      </c>
      <c r="G34" s="374"/>
    </row>
    <row r="35" spans="1:7" ht="13.5">
      <c r="A35" s="505" t="str">
        <f>'Salaries - Year 3'!A35</f>
        <v>Teachers</v>
      </c>
      <c r="B35" s="350">
        <v>2</v>
      </c>
      <c r="C35" s="335">
        <f>('Salaries - Year 3'!C35)*(1+$B$5)</f>
        <v>57305.231999999996</v>
      </c>
      <c r="D35" s="345">
        <f>B35*C35</f>
        <v>114610.46399999999</v>
      </c>
      <c r="E35" s="357">
        <f>D35*$E$33</f>
        <v>7105.848768</v>
      </c>
      <c r="F35" s="357">
        <f>D35*$F$33</f>
        <v>1661.8517279999999</v>
      </c>
      <c r="G35" s="374"/>
    </row>
    <row r="36" spans="1:7" ht="13.5">
      <c r="A36" s="505" t="s">
        <v>395</v>
      </c>
      <c r="B36" s="351">
        <v>1</v>
      </c>
      <c r="C36" s="335">
        <f>('Salaries - Year 3'!C36)*(1+$B$5)</f>
        <v>40800</v>
      </c>
      <c r="D36" s="345">
        <f aca="true" t="shared" si="4" ref="D36:D56">B36*C36</f>
        <v>40800</v>
      </c>
      <c r="E36" s="362">
        <f aca="true" t="shared" si="5" ref="E36:E56">D36*$E$33</f>
        <v>2529.6</v>
      </c>
      <c r="F36" s="362">
        <f aca="true" t="shared" si="6" ref="F36:F56">D36*$F$33</f>
        <v>591.6</v>
      </c>
      <c r="G36" s="374"/>
    </row>
    <row r="37" spans="1:7" ht="13.5">
      <c r="A37" s="505">
        <v>0</v>
      </c>
      <c r="B37" s="351"/>
      <c r="C37" s="335">
        <v>0</v>
      </c>
      <c r="D37" s="345">
        <f t="shared" si="4"/>
        <v>0</v>
      </c>
      <c r="E37" s="362">
        <f t="shared" si="5"/>
        <v>0</v>
      </c>
      <c r="F37" s="362">
        <f t="shared" si="6"/>
        <v>0</v>
      </c>
      <c r="G37" s="374"/>
    </row>
    <row r="38" spans="1:7" ht="13.5">
      <c r="A38" s="505">
        <f>'Salaries - Year 3'!A38</f>
        <v>0</v>
      </c>
      <c r="B38" s="351"/>
      <c r="C38" s="335">
        <f>('Salaries - Year 3'!C38)*(1+$B$5)</f>
        <v>0</v>
      </c>
      <c r="D38" s="345">
        <f t="shared" si="4"/>
        <v>0</v>
      </c>
      <c r="E38" s="362">
        <f t="shared" si="5"/>
        <v>0</v>
      </c>
      <c r="F38" s="362">
        <f t="shared" si="6"/>
        <v>0</v>
      </c>
      <c r="G38" s="374"/>
    </row>
    <row r="39" spans="1:7" ht="13.5">
      <c r="A39" s="505">
        <f>'Salaries - Year 3'!A39</f>
        <v>0</v>
      </c>
      <c r="B39" s="351"/>
      <c r="C39" s="335">
        <f>('Salaries - Year 3'!C39)*(1+$B$5)</f>
        <v>0</v>
      </c>
      <c r="D39" s="345">
        <f t="shared" si="4"/>
        <v>0</v>
      </c>
      <c r="E39" s="362">
        <f t="shared" si="5"/>
        <v>0</v>
      </c>
      <c r="F39" s="362">
        <f t="shared" si="6"/>
        <v>0</v>
      </c>
      <c r="G39" s="374"/>
    </row>
    <row r="40" spans="1:7" ht="13.5">
      <c r="A40" s="505">
        <f>'Salaries - Year 3'!A40</f>
        <v>0</v>
      </c>
      <c r="B40" s="351"/>
      <c r="C40" s="335">
        <f>('Salaries - Year 3'!C40)*(1+$B$5)</f>
        <v>0</v>
      </c>
      <c r="D40" s="345">
        <f t="shared" si="4"/>
        <v>0</v>
      </c>
      <c r="E40" s="362">
        <f t="shared" si="5"/>
        <v>0</v>
      </c>
      <c r="F40" s="362">
        <f t="shared" si="6"/>
        <v>0</v>
      </c>
      <c r="G40" s="374"/>
    </row>
    <row r="41" spans="1:7" ht="13.5">
      <c r="A41" s="505">
        <f>'Salaries - Year 3'!A41</f>
        <v>0</v>
      </c>
      <c r="B41" s="351"/>
      <c r="C41" s="335">
        <f>('Salaries - Year 3'!C41)*(1+$B$5)</f>
        <v>0</v>
      </c>
      <c r="D41" s="345">
        <f t="shared" si="4"/>
        <v>0</v>
      </c>
      <c r="E41" s="362">
        <f t="shared" si="5"/>
        <v>0</v>
      </c>
      <c r="F41" s="362">
        <f t="shared" si="6"/>
        <v>0</v>
      </c>
      <c r="G41" s="374"/>
    </row>
    <row r="42" spans="1:7" ht="13.5">
      <c r="A42" s="505">
        <f>'Salaries - Year 3'!A42</f>
        <v>0</v>
      </c>
      <c r="B42" s="351"/>
      <c r="C42" s="335">
        <f>('Salaries - Year 3'!C42)*(1+$B$5)</f>
        <v>0</v>
      </c>
      <c r="D42" s="345">
        <f t="shared" si="4"/>
        <v>0</v>
      </c>
      <c r="E42" s="362">
        <f t="shared" si="5"/>
        <v>0</v>
      </c>
      <c r="F42" s="362">
        <f t="shared" si="6"/>
        <v>0</v>
      </c>
      <c r="G42" s="374"/>
    </row>
    <row r="43" spans="1:7" ht="13.5">
      <c r="A43" s="505">
        <f>'Salaries - Year 3'!A43</f>
        <v>0</v>
      </c>
      <c r="B43" s="351"/>
      <c r="C43" s="335">
        <f>('Salaries - Year 3'!C43)*(1+$B$5)</f>
        <v>0</v>
      </c>
      <c r="D43" s="345">
        <f t="shared" si="4"/>
        <v>0</v>
      </c>
      <c r="E43" s="362">
        <f t="shared" si="5"/>
        <v>0</v>
      </c>
      <c r="F43" s="362">
        <f t="shared" si="6"/>
        <v>0</v>
      </c>
      <c r="G43" s="374"/>
    </row>
    <row r="44" spans="1:7" ht="13.5">
      <c r="A44" s="505">
        <f>'Salaries - Year 3'!A44</f>
        <v>0</v>
      </c>
      <c r="B44" s="351"/>
      <c r="C44" s="335">
        <f>('Salaries - Year 3'!C44)*(1+$B$5)</f>
        <v>0</v>
      </c>
      <c r="D44" s="345">
        <f t="shared" si="4"/>
        <v>0</v>
      </c>
      <c r="E44" s="362">
        <f t="shared" si="5"/>
        <v>0</v>
      </c>
      <c r="F44" s="362">
        <f t="shared" si="6"/>
        <v>0</v>
      </c>
      <c r="G44" s="374"/>
    </row>
    <row r="45" spans="1:7" ht="13.5">
      <c r="A45" s="505">
        <f>'Salaries - Year 3'!A45</f>
        <v>0</v>
      </c>
      <c r="B45" s="351"/>
      <c r="C45" s="335">
        <f>('Salaries - Year 3'!C45)*(1+$B$5)</f>
        <v>0</v>
      </c>
      <c r="D45" s="345">
        <f t="shared" si="4"/>
        <v>0</v>
      </c>
      <c r="E45" s="362">
        <f t="shared" si="5"/>
        <v>0</v>
      </c>
      <c r="F45" s="362">
        <f t="shared" si="6"/>
        <v>0</v>
      </c>
      <c r="G45" s="374"/>
    </row>
    <row r="46" spans="1:7" ht="13.5">
      <c r="A46" s="505">
        <f>'Salaries - Year 3'!A46</f>
        <v>0</v>
      </c>
      <c r="B46" s="351"/>
      <c r="C46" s="335">
        <f>('Salaries - Year 3'!C46)*(1+$B$5)</f>
        <v>0</v>
      </c>
      <c r="D46" s="345">
        <f t="shared" si="4"/>
        <v>0</v>
      </c>
      <c r="E46" s="362">
        <f t="shared" si="5"/>
        <v>0</v>
      </c>
      <c r="F46" s="362">
        <f t="shared" si="6"/>
        <v>0</v>
      </c>
      <c r="G46" s="374"/>
    </row>
    <row r="47" spans="1:7" ht="13.5">
      <c r="A47" s="505">
        <f>'Salaries - Year 3'!A47</f>
        <v>0</v>
      </c>
      <c r="B47" s="351"/>
      <c r="C47" s="335">
        <f>('Salaries - Year 3'!C47)*(1+$B$5)</f>
        <v>0</v>
      </c>
      <c r="D47" s="345">
        <f t="shared" si="4"/>
        <v>0</v>
      </c>
      <c r="E47" s="362">
        <f t="shared" si="5"/>
        <v>0</v>
      </c>
      <c r="F47" s="362">
        <f t="shared" si="6"/>
        <v>0</v>
      </c>
      <c r="G47" s="374"/>
    </row>
    <row r="48" spans="1:7" ht="13.5">
      <c r="A48" s="505">
        <f>'Salaries - Year 3'!A48</f>
        <v>0</v>
      </c>
      <c r="B48" s="351"/>
      <c r="C48" s="335">
        <f>('Salaries - Year 3'!C48)*(1+$B$5)</f>
        <v>0</v>
      </c>
      <c r="D48" s="345">
        <f t="shared" si="4"/>
        <v>0</v>
      </c>
      <c r="E48" s="362">
        <f t="shared" si="5"/>
        <v>0</v>
      </c>
      <c r="F48" s="362">
        <f t="shared" si="6"/>
        <v>0</v>
      </c>
      <c r="G48" s="374"/>
    </row>
    <row r="49" spans="1:7" ht="13.5">
      <c r="A49" s="505">
        <f>'Salaries - Year 3'!A49</f>
        <v>0</v>
      </c>
      <c r="B49" s="352"/>
      <c r="C49" s="335">
        <f>('Salaries - Year 3'!C49)*(1+$B$5)</f>
        <v>0</v>
      </c>
      <c r="D49" s="345">
        <f t="shared" si="4"/>
        <v>0</v>
      </c>
      <c r="E49" s="362">
        <f t="shared" si="5"/>
        <v>0</v>
      </c>
      <c r="F49" s="362">
        <f t="shared" si="6"/>
        <v>0</v>
      </c>
      <c r="G49" s="374"/>
    </row>
    <row r="50" spans="1:7" ht="13.5">
      <c r="A50" s="505">
        <f>'Salaries - Year 3'!A50</f>
        <v>0</v>
      </c>
      <c r="B50" s="352"/>
      <c r="C50" s="335">
        <f>('Salaries - Year 3'!C50)*(1+$B$5)</f>
        <v>0</v>
      </c>
      <c r="D50" s="345">
        <f t="shared" si="4"/>
        <v>0</v>
      </c>
      <c r="E50" s="362">
        <f t="shared" si="5"/>
        <v>0</v>
      </c>
      <c r="F50" s="362">
        <f t="shared" si="6"/>
        <v>0</v>
      </c>
      <c r="G50" s="374"/>
    </row>
    <row r="51" spans="1:7" ht="13.5">
      <c r="A51" s="505">
        <f>'Salaries - Year 3'!A51</f>
        <v>0</v>
      </c>
      <c r="B51" s="352"/>
      <c r="C51" s="335">
        <f>('Salaries - Year 3'!C51)*(1+$B$5)</f>
        <v>0</v>
      </c>
      <c r="D51" s="345">
        <f t="shared" si="4"/>
        <v>0</v>
      </c>
      <c r="E51" s="362">
        <f t="shared" si="5"/>
        <v>0</v>
      </c>
      <c r="F51" s="362">
        <f t="shared" si="6"/>
        <v>0</v>
      </c>
      <c r="G51" s="374"/>
    </row>
    <row r="52" spans="1:7" ht="13.5">
      <c r="A52" s="505">
        <f>'Salaries - Year 3'!A52</f>
        <v>0</v>
      </c>
      <c r="B52" s="352"/>
      <c r="C52" s="335">
        <f>('Salaries - Year 3'!C52)*(1+$B$5)</f>
        <v>0</v>
      </c>
      <c r="D52" s="345">
        <f t="shared" si="4"/>
        <v>0</v>
      </c>
      <c r="E52" s="362">
        <f t="shared" si="5"/>
        <v>0</v>
      </c>
      <c r="F52" s="362">
        <f t="shared" si="6"/>
        <v>0</v>
      </c>
      <c r="G52" s="374"/>
    </row>
    <row r="53" spans="1:7" ht="13.5">
      <c r="A53" s="505">
        <f>'Salaries - Year 3'!A53</f>
        <v>0</v>
      </c>
      <c r="B53" s="352"/>
      <c r="C53" s="335">
        <f>('Salaries - Year 3'!C53)*(1+$B$5)</f>
        <v>0</v>
      </c>
      <c r="D53" s="345">
        <f t="shared" si="4"/>
        <v>0</v>
      </c>
      <c r="E53" s="362">
        <f t="shared" si="5"/>
        <v>0</v>
      </c>
      <c r="F53" s="362">
        <f t="shared" si="6"/>
        <v>0</v>
      </c>
      <c r="G53" s="374"/>
    </row>
    <row r="54" spans="1:7" ht="13.5">
      <c r="A54" s="505">
        <f>'Salaries - Year 3'!A54</f>
        <v>0</v>
      </c>
      <c r="B54" s="352"/>
      <c r="C54" s="335">
        <f>('Salaries - Year 3'!C54)*(1+$B$5)</f>
        <v>0</v>
      </c>
      <c r="D54" s="345">
        <f t="shared" si="4"/>
        <v>0</v>
      </c>
      <c r="E54" s="362">
        <f t="shared" si="5"/>
        <v>0</v>
      </c>
      <c r="F54" s="362">
        <f t="shared" si="6"/>
        <v>0</v>
      </c>
      <c r="G54" s="374"/>
    </row>
    <row r="55" spans="1:7" ht="13.5">
      <c r="A55" s="505">
        <f>'Salaries - Year 3'!A55</f>
        <v>0</v>
      </c>
      <c r="B55" s="352"/>
      <c r="C55" s="335">
        <f>('Salaries - Year 3'!C55)*(1+$B$5)</f>
        <v>0</v>
      </c>
      <c r="D55" s="345">
        <f t="shared" si="4"/>
        <v>0</v>
      </c>
      <c r="E55" s="362">
        <f t="shared" si="5"/>
        <v>0</v>
      </c>
      <c r="F55" s="362">
        <f t="shared" si="6"/>
        <v>0</v>
      </c>
      <c r="G55" s="374"/>
    </row>
    <row r="56" spans="1:7" ht="14.25" thickBot="1">
      <c r="A56" s="333"/>
      <c r="B56" s="352"/>
      <c r="C56" s="335">
        <f>('Salaries - Year 3'!C56)*(1+$B$5)</f>
        <v>0</v>
      </c>
      <c r="D56" s="345">
        <f t="shared" si="4"/>
        <v>0</v>
      </c>
      <c r="E56" s="362">
        <f t="shared" si="5"/>
        <v>0</v>
      </c>
      <c r="F56" s="362">
        <f t="shared" si="6"/>
        <v>0</v>
      </c>
      <c r="G56" s="374"/>
    </row>
    <row r="57" spans="1:7" ht="15" thickBot="1">
      <c r="A57" s="360" t="s">
        <v>241</v>
      </c>
      <c r="B57" s="363">
        <f>SUM(B34:B56)</f>
        <v>4</v>
      </c>
      <c r="C57" s="364"/>
      <c r="D57" s="349">
        <f>SUM(D34:D56)</f>
        <v>211510.46399999998</v>
      </c>
      <c r="E57" s="349">
        <f>SUM(E34:E56)</f>
        <v>13113.648768000001</v>
      </c>
      <c r="F57" s="349">
        <f>SUM(F34:F56)</f>
        <v>3066.901728</v>
      </c>
      <c r="G57" s="374"/>
    </row>
    <row r="58" spans="1:7" ht="12.75" thickBot="1">
      <c r="A58" s="374"/>
      <c r="B58" s="374"/>
      <c r="C58" s="374"/>
      <c r="D58" s="374"/>
      <c r="E58" s="374"/>
      <c r="F58" s="374"/>
      <c r="G58" s="374"/>
    </row>
    <row r="59" spans="1:7" ht="15" thickBot="1">
      <c r="A59" s="365" t="s">
        <v>6</v>
      </c>
      <c r="B59" s="366" t="s">
        <v>47</v>
      </c>
      <c r="C59" s="374"/>
      <c r="D59" s="374"/>
      <c r="E59" s="374"/>
      <c r="F59" s="374"/>
      <c r="G59" s="374"/>
    </row>
    <row r="60" spans="1:7" ht="15" thickBot="1">
      <c r="A60" s="367" t="s">
        <v>244</v>
      </c>
      <c r="B60" s="349">
        <f>D28</f>
        <v>900303.816</v>
      </c>
      <c r="C60" s="374"/>
      <c r="D60" s="374"/>
      <c r="E60" s="374"/>
      <c r="F60" s="374"/>
      <c r="G60" s="374"/>
    </row>
    <row r="61" spans="1:7" ht="15" thickBot="1">
      <c r="A61" s="368" t="s">
        <v>245</v>
      </c>
      <c r="B61" s="349">
        <f>D57</f>
        <v>211510.46399999998</v>
      </c>
      <c r="C61" s="374"/>
      <c r="D61" s="374"/>
      <c r="E61" s="374"/>
      <c r="F61" s="374"/>
      <c r="G61" s="374"/>
    </row>
    <row r="62" spans="1:7" ht="15" thickBot="1">
      <c r="A62" s="369" t="s">
        <v>246</v>
      </c>
      <c r="B62" s="349">
        <f>SUM(B60:B61)</f>
        <v>1111814.28</v>
      </c>
      <c r="C62" s="374"/>
      <c r="D62" s="374"/>
      <c r="E62" s="374"/>
      <c r="F62" s="374"/>
      <c r="G62" s="374"/>
    </row>
    <row r="63" spans="1:7" ht="12">
      <c r="A63" s="374"/>
      <c r="B63" s="374"/>
      <c r="C63" s="374"/>
      <c r="D63" s="374"/>
      <c r="E63" s="374"/>
      <c r="F63" s="374"/>
      <c r="G63" s="374"/>
    </row>
    <row r="64" spans="1:7" ht="12.75" thickBot="1">
      <c r="A64" s="374"/>
      <c r="B64" s="374"/>
      <c r="C64" s="374"/>
      <c r="D64" s="374"/>
      <c r="E64" s="374"/>
      <c r="F64" s="374"/>
      <c r="G64" s="374"/>
    </row>
    <row r="65" spans="1:2" ht="15" thickBot="1">
      <c r="A65" s="365" t="s">
        <v>247</v>
      </c>
      <c r="B65" s="366" t="s">
        <v>47</v>
      </c>
    </row>
    <row r="66" spans="1:2" ht="15" thickBot="1">
      <c r="A66" s="367" t="s">
        <v>244</v>
      </c>
      <c r="B66" s="349">
        <f>G28</f>
        <v>13054.405331999998</v>
      </c>
    </row>
    <row r="67" spans="1:2" ht="15" thickBot="1">
      <c r="A67" s="368" t="s">
        <v>245</v>
      </c>
      <c r="B67" s="349">
        <f>F57</f>
        <v>3066.901728</v>
      </c>
    </row>
    <row r="68" spans="1:2" ht="15" thickBot="1">
      <c r="A68" s="369" t="s">
        <v>248</v>
      </c>
      <c r="B68" s="349">
        <f>SUM(B66:B67)</f>
        <v>16121.30706</v>
      </c>
    </row>
    <row r="70" ht="12.75" thickBot="1"/>
    <row r="71" spans="1:2" ht="15" thickBot="1">
      <c r="A71" s="365" t="s">
        <v>24</v>
      </c>
      <c r="B71" s="366" t="s">
        <v>47</v>
      </c>
    </row>
    <row r="72" spans="1:2" ht="15" thickBot="1">
      <c r="A72" s="367" t="s">
        <v>249</v>
      </c>
      <c r="B72" s="370">
        <f>B28</f>
        <v>15</v>
      </c>
    </row>
    <row r="73" spans="1:2" ht="15" thickBot="1">
      <c r="A73" s="367" t="s">
        <v>250</v>
      </c>
      <c r="B73" s="370">
        <f>B57</f>
        <v>4</v>
      </c>
    </row>
    <row r="74" spans="1:2" ht="15" thickBot="1">
      <c r="A74" s="369" t="s">
        <v>251</v>
      </c>
      <c r="B74" s="370">
        <f>SUM(B72:B73)</f>
        <v>19</v>
      </c>
    </row>
  </sheetData>
  <sheetProtection password="CC59" sheet="1" formatColumns="0" formatRows="0" insertColumns="0" insertRows="0"/>
  <mergeCells count="7">
    <mergeCell ref="A33:D33"/>
    <mergeCell ref="A9:D9"/>
    <mergeCell ref="A10:D10"/>
    <mergeCell ref="A12:D12"/>
    <mergeCell ref="A29:C29"/>
    <mergeCell ref="A31:D31"/>
    <mergeCell ref="A32:D32"/>
  </mergeCells>
  <dataValidations count="1">
    <dataValidation allowBlank="1" showInputMessage="1" showErrorMessage="1" prompt="You may change any of the job titles." sqref="A56"/>
  </dataValidations>
  <printOptions/>
  <pageMargins left="0.7" right="0.7" top="0.75" bottom="0.75" header="0.3" footer="0.3"/>
  <pageSetup horizontalDpi="600" verticalDpi="600" orientation="portrait" scale="61" r:id="rId1"/>
  <rowBreaks count="1" manualBreakCount="1">
    <brk id="57" max="255" man="1"/>
  </rowBreaks>
</worksheet>
</file>

<file path=xl/worksheets/sheet7.xml><?xml version="1.0" encoding="utf-8"?>
<worksheet xmlns="http://schemas.openxmlformats.org/spreadsheetml/2006/main" xmlns:r="http://schemas.openxmlformats.org/officeDocument/2006/relationships">
  <sheetPr codeName="Sheet7"/>
  <dimension ref="A1:G74"/>
  <sheetViews>
    <sheetView zoomScalePageLayoutView="0" workbookViewId="0" topLeftCell="A8">
      <selection activeCell="E13" sqref="E13"/>
    </sheetView>
  </sheetViews>
  <sheetFormatPr defaultColWidth="8.8515625" defaultRowHeight="12.75"/>
  <cols>
    <col min="1" max="1" width="60.57421875" style="195" customWidth="1"/>
    <col min="2" max="2" width="13.00390625" style="195" customWidth="1"/>
    <col min="3" max="3" width="11.57421875" style="195" customWidth="1"/>
    <col min="4" max="4" width="15.57421875" style="195" customWidth="1"/>
    <col min="5" max="5" width="16.8515625" style="195" customWidth="1"/>
    <col min="6" max="6" width="17.421875" style="195" customWidth="1"/>
    <col min="7" max="7" width="14.421875" style="195" customWidth="1"/>
    <col min="8" max="16384" width="8.8515625" style="195" customWidth="1"/>
  </cols>
  <sheetData>
    <row r="1" ht="13.5" thickBot="1">
      <c r="A1" s="383" t="str">
        <f>'Budget with Assumptions'!A2</f>
        <v>Chicago Preparatory Charter Middle School</v>
      </c>
    </row>
    <row r="4" ht="12.75" thickBot="1"/>
    <row r="5" spans="1:2" ht="63" thickBot="1">
      <c r="A5" s="373" t="s">
        <v>252</v>
      </c>
      <c r="B5" s="371">
        <v>0.02</v>
      </c>
    </row>
    <row r="8" ht="12.75" thickBot="1">
      <c r="A8" s="195" t="str">
        <f>Instructions!B1</f>
        <v>Chicago Preparatory Charter Middle School</v>
      </c>
    </row>
    <row r="9" spans="1:7" ht="14.25" thickBot="1">
      <c r="A9" s="673" t="s">
        <v>357</v>
      </c>
      <c r="B9" s="674"/>
      <c r="C9" s="674"/>
      <c r="D9" s="675"/>
      <c r="E9" s="374"/>
      <c r="F9" s="374"/>
      <c r="G9" s="374"/>
    </row>
    <row r="10" spans="1:7" ht="14.25" thickBot="1">
      <c r="A10" s="676" t="s">
        <v>237</v>
      </c>
      <c r="B10" s="677"/>
      <c r="C10" s="677"/>
      <c r="D10" s="678"/>
      <c r="E10" s="374"/>
      <c r="F10" s="374"/>
      <c r="G10" s="374"/>
    </row>
    <row r="11" spans="1:7" ht="70.5" thickBot="1">
      <c r="A11" s="353" t="s">
        <v>228</v>
      </c>
      <c r="B11" s="353" t="s">
        <v>229</v>
      </c>
      <c r="C11" s="353" t="s">
        <v>230</v>
      </c>
      <c r="D11" s="354" t="s">
        <v>231</v>
      </c>
      <c r="E11" s="332" t="s">
        <v>238</v>
      </c>
      <c r="F11" s="332" t="s">
        <v>239</v>
      </c>
      <c r="G11" s="332" t="s">
        <v>240</v>
      </c>
    </row>
    <row r="12" spans="1:7" ht="15.75" thickBot="1">
      <c r="A12" s="670"/>
      <c r="B12" s="671"/>
      <c r="C12" s="671"/>
      <c r="D12" s="672"/>
      <c r="E12" s="504">
        <v>0</v>
      </c>
      <c r="F12" s="355">
        <v>0.1116</v>
      </c>
      <c r="G12" s="356">
        <v>0.0145</v>
      </c>
    </row>
    <row r="13" spans="1:7" ht="13.5">
      <c r="A13" s="505" t="str">
        <f>'Salaries - Year 4'!A13</f>
        <v>Head of School</v>
      </c>
      <c r="B13" s="350">
        <v>1</v>
      </c>
      <c r="C13" s="335">
        <f>('Salaries - Year 4'!C13)*(1+$B$5)</f>
        <v>81182.41200000001</v>
      </c>
      <c r="D13" s="345">
        <f>B13*C13</f>
        <v>81182.41200000001</v>
      </c>
      <c r="E13" s="357">
        <f>D13*$E$12</f>
        <v>0</v>
      </c>
      <c r="F13" s="358">
        <f>D13*$F$12</f>
        <v>9059.957179200002</v>
      </c>
      <c r="G13" s="357">
        <f>D13*$G$12</f>
        <v>1177.1449740000003</v>
      </c>
    </row>
    <row r="14" spans="1:7" ht="13.5">
      <c r="A14" s="505" t="str">
        <f>'Salaries - Year 4'!A14</f>
        <v>Assistant Head of School</v>
      </c>
      <c r="B14" s="351">
        <v>1</v>
      </c>
      <c r="C14" s="335">
        <f>('Salaries - Year 4'!C14)*(1+$B$5)</f>
        <v>68978.52</v>
      </c>
      <c r="D14" s="345">
        <f aca="true" t="shared" si="0" ref="D14:D27">B14*C14</f>
        <v>68978.52</v>
      </c>
      <c r="E14" s="357">
        <f aca="true" t="shared" si="1" ref="E14:E27">D14*$E$12</f>
        <v>0</v>
      </c>
      <c r="F14" s="358">
        <f aca="true" t="shared" si="2" ref="F14:F27">D14*$F$12</f>
        <v>7698.002832000001</v>
      </c>
      <c r="G14" s="357">
        <f aca="true" t="shared" si="3" ref="G14:G27">D14*$G$12</f>
        <v>1000.1885400000001</v>
      </c>
    </row>
    <row r="15" spans="1:7" ht="13.5">
      <c r="A15" s="505" t="str">
        <f>'Salaries - Year 4'!A15</f>
        <v>Student Supports Coordinator</v>
      </c>
      <c r="B15" s="351">
        <v>1</v>
      </c>
      <c r="C15" s="335">
        <f>('Salaries - Year 4'!C15)*(1+$B$5)</f>
        <v>64945.9296</v>
      </c>
      <c r="D15" s="345">
        <f t="shared" si="0"/>
        <v>64945.9296</v>
      </c>
      <c r="E15" s="357">
        <f t="shared" si="1"/>
        <v>0</v>
      </c>
      <c r="F15" s="358">
        <f t="shared" si="2"/>
        <v>7247.9657433600005</v>
      </c>
      <c r="G15" s="357">
        <f t="shared" si="3"/>
        <v>941.7159792000001</v>
      </c>
    </row>
    <row r="16" spans="1:7" ht="13.5">
      <c r="A16" s="505" t="str">
        <f>'Salaries - Year 4'!A16</f>
        <v>Special Education Teachers</v>
      </c>
      <c r="B16" s="351">
        <v>2</v>
      </c>
      <c r="C16" s="335">
        <f>('Salaries - Year 4'!C16)*(1+$B$5)</f>
        <v>59533.768800000005</v>
      </c>
      <c r="D16" s="345">
        <f t="shared" si="0"/>
        <v>119067.53760000001</v>
      </c>
      <c r="E16" s="357">
        <f t="shared" si="1"/>
        <v>0</v>
      </c>
      <c r="F16" s="358">
        <f t="shared" si="2"/>
        <v>13287.93719616</v>
      </c>
      <c r="G16" s="357">
        <f t="shared" si="3"/>
        <v>1726.4792952000003</v>
      </c>
    </row>
    <row r="17" spans="1:7" ht="13.5">
      <c r="A17" s="505" t="str">
        <f>'Salaries - Year 4'!A17</f>
        <v>Teachers</v>
      </c>
      <c r="B17" s="351">
        <v>8</v>
      </c>
      <c r="C17" s="335">
        <f>('Salaries - Year 4'!C17)*(1+$B$5)</f>
        <v>58451.336639999994</v>
      </c>
      <c r="D17" s="345">
        <f t="shared" si="0"/>
        <v>467610.69311999995</v>
      </c>
      <c r="E17" s="357">
        <f t="shared" si="1"/>
        <v>0</v>
      </c>
      <c r="F17" s="358">
        <f t="shared" si="2"/>
        <v>52185.353352191996</v>
      </c>
      <c r="G17" s="357">
        <f t="shared" si="3"/>
        <v>6780.355050239999</v>
      </c>
    </row>
    <row r="18" spans="1:7" ht="13.5">
      <c r="A18" s="505" t="str">
        <f>'Salaries - Year 4'!A18</f>
        <v>Dean of Students</v>
      </c>
      <c r="B18" s="351">
        <v>1</v>
      </c>
      <c r="C18" s="335">
        <f>('Salaries - Year 4'!C18)*(1+$B$5)</f>
        <v>62424</v>
      </c>
      <c r="D18" s="345">
        <f t="shared" si="0"/>
        <v>62424</v>
      </c>
      <c r="E18" s="357">
        <f t="shared" si="1"/>
        <v>0</v>
      </c>
      <c r="F18" s="358">
        <f t="shared" si="2"/>
        <v>6966.5184</v>
      </c>
      <c r="G18" s="357">
        <f t="shared" si="3"/>
        <v>905.148</v>
      </c>
    </row>
    <row r="19" spans="1:7" ht="13.5">
      <c r="A19" s="505" t="str">
        <f>'Salaries - Year 4'!A19</f>
        <v>Electives Teachers </v>
      </c>
      <c r="B19" s="351">
        <v>1</v>
      </c>
      <c r="C19" s="335">
        <f>('Salaries - Year 4'!C19)*(1+$B$5)</f>
        <v>54100.8</v>
      </c>
      <c r="D19" s="345">
        <f t="shared" si="0"/>
        <v>54100.8</v>
      </c>
      <c r="E19" s="357">
        <f t="shared" si="1"/>
        <v>0</v>
      </c>
      <c r="F19" s="358">
        <f t="shared" si="2"/>
        <v>6037.6492800000005</v>
      </c>
      <c r="G19" s="357">
        <f t="shared" si="3"/>
        <v>784.4616000000001</v>
      </c>
    </row>
    <row r="20" spans="1:7" ht="13.5">
      <c r="A20" s="505">
        <f>'Salaries - Year 4'!A20</f>
        <v>0</v>
      </c>
      <c r="B20" s="351"/>
      <c r="C20" s="335">
        <f>('Salaries - Year 4'!C20)*(1+$B$5)</f>
        <v>0</v>
      </c>
      <c r="D20" s="345">
        <f t="shared" si="0"/>
        <v>0</v>
      </c>
      <c r="E20" s="357">
        <f t="shared" si="1"/>
        <v>0</v>
      </c>
      <c r="F20" s="358">
        <f t="shared" si="2"/>
        <v>0</v>
      </c>
      <c r="G20" s="357">
        <f t="shared" si="3"/>
        <v>0</v>
      </c>
    </row>
    <row r="21" spans="1:7" ht="13.5">
      <c r="A21" s="505">
        <f>'Salaries - Year 4'!A21</f>
        <v>0</v>
      </c>
      <c r="B21" s="351"/>
      <c r="C21" s="335">
        <f>('Salaries - Year 4'!C22)*(1+$B$5)</f>
        <v>0</v>
      </c>
      <c r="D21" s="345">
        <f t="shared" si="0"/>
        <v>0</v>
      </c>
      <c r="E21" s="357">
        <f t="shared" si="1"/>
        <v>0</v>
      </c>
      <c r="F21" s="358">
        <f t="shared" si="2"/>
        <v>0</v>
      </c>
      <c r="G21" s="357">
        <f t="shared" si="3"/>
        <v>0</v>
      </c>
    </row>
    <row r="22" spans="1:7" ht="13.5">
      <c r="A22" s="505">
        <f>'Salaries - Year 4'!A22</f>
        <v>0</v>
      </c>
      <c r="B22" s="351"/>
      <c r="C22" s="335">
        <f>('Salaries - Year 4'!C23)*(1+$B$5)</f>
        <v>0</v>
      </c>
      <c r="D22" s="345">
        <f t="shared" si="0"/>
        <v>0</v>
      </c>
      <c r="E22" s="357">
        <f t="shared" si="1"/>
        <v>0</v>
      </c>
      <c r="F22" s="358">
        <f t="shared" si="2"/>
        <v>0</v>
      </c>
      <c r="G22" s="357">
        <f t="shared" si="3"/>
        <v>0</v>
      </c>
    </row>
    <row r="23" spans="1:7" ht="13.5">
      <c r="A23" s="505">
        <f>'Salaries - Year 4'!A23</f>
        <v>0</v>
      </c>
      <c r="B23" s="351"/>
      <c r="C23" s="335">
        <f>('Salaries - Year 4'!C24)*(1+$B$5)</f>
        <v>0</v>
      </c>
      <c r="D23" s="345">
        <f t="shared" si="0"/>
        <v>0</v>
      </c>
      <c r="E23" s="357">
        <f t="shared" si="1"/>
        <v>0</v>
      </c>
      <c r="F23" s="358">
        <f t="shared" si="2"/>
        <v>0</v>
      </c>
      <c r="G23" s="357">
        <f t="shared" si="3"/>
        <v>0</v>
      </c>
    </row>
    <row r="24" spans="1:7" ht="13.5">
      <c r="A24" s="505">
        <f>'Salaries - Year 4'!A24</f>
        <v>0</v>
      </c>
      <c r="B24" s="351"/>
      <c r="C24" s="335">
        <f>('Salaries - Year 4'!C25)*(1+$B$5)</f>
        <v>0</v>
      </c>
      <c r="D24" s="345">
        <f t="shared" si="0"/>
        <v>0</v>
      </c>
      <c r="E24" s="357">
        <f t="shared" si="1"/>
        <v>0</v>
      </c>
      <c r="F24" s="358">
        <f t="shared" si="2"/>
        <v>0</v>
      </c>
      <c r="G24" s="357">
        <f t="shared" si="3"/>
        <v>0</v>
      </c>
    </row>
    <row r="25" spans="1:7" ht="13.5">
      <c r="A25" s="505">
        <f>'Salaries - Year 4'!A25</f>
        <v>0</v>
      </c>
      <c r="B25" s="351"/>
      <c r="C25" s="335">
        <f>('Salaries - Year 4'!C26)*(1+$B$5)</f>
        <v>0</v>
      </c>
      <c r="D25" s="345">
        <f t="shared" si="0"/>
        <v>0</v>
      </c>
      <c r="E25" s="357">
        <f t="shared" si="1"/>
        <v>0</v>
      </c>
      <c r="F25" s="358">
        <f t="shared" si="2"/>
        <v>0</v>
      </c>
      <c r="G25" s="357">
        <f t="shared" si="3"/>
        <v>0</v>
      </c>
    </row>
    <row r="26" spans="1:7" ht="13.5">
      <c r="A26" s="505">
        <f>'Salaries - Year 4'!A26</f>
        <v>0</v>
      </c>
      <c r="B26" s="351"/>
      <c r="C26" s="335">
        <f>('Salaries - Year 4'!C27)*(1+$B$5)</f>
        <v>0</v>
      </c>
      <c r="D26" s="345">
        <f>B26*C26</f>
        <v>0</v>
      </c>
      <c r="E26" s="357">
        <f>D26*$E$12</f>
        <v>0</v>
      </c>
      <c r="F26" s="358">
        <f>D26*$F$12</f>
        <v>0</v>
      </c>
      <c r="G26" s="357">
        <f>D26*$G$12</f>
        <v>0</v>
      </c>
    </row>
    <row r="27" spans="1:7" ht="14.25" thickBot="1">
      <c r="A27" s="505">
        <f>'Salaries - Year 4'!A27</f>
        <v>0</v>
      </c>
      <c r="B27" s="351"/>
      <c r="C27" s="335">
        <f>('Salaries - Year 4'!C27)*(1+$B$5)</f>
        <v>0</v>
      </c>
      <c r="D27" s="345">
        <f t="shared" si="0"/>
        <v>0</v>
      </c>
      <c r="E27" s="357">
        <f t="shared" si="1"/>
        <v>0</v>
      </c>
      <c r="F27" s="359">
        <f t="shared" si="2"/>
        <v>0</v>
      </c>
      <c r="G27" s="357">
        <f t="shared" si="3"/>
        <v>0</v>
      </c>
    </row>
    <row r="28" spans="1:7" ht="15" thickBot="1">
      <c r="A28" s="360" t="s">
        <v>241</v>
      </c>
      <c r="B28" s="361">
        <f>SUM(B13:B27)</f>
        <v>15</v>
      </c>
      <c r="C28" s="348"/>
      <c r="D28" s="349">
        <f>SUM(D13:D27)</f>
        <v>918309.8923200001</v>
      </c>
      <c r="E28" s="349">
        <f>SUM(E13:E27)</f>
        <v>0</v>
      </c>
      <c r="F28" s="349">
        <f>SUM(F13:F27)</f>
        <v>102483.38398291201</v>
      </c>
      <c r="G28" s="349">
        <f>SUM(G13:G27)</f>
        <v>13315.49343864</v>
      </c>
    </row>
    <row r="29" spans="1:7" ht="12">
      <c r="A29" s="679"/>
      <c r="B29" s="679"/>
      <c r="C29" s="679"/>
      <c r="D29" s="391"/>
      <c r="E29" s="374"/>
      <c r="F29" s="374"/>
      <c r="G29" s="374"/>
    </row>
    <row r="30" spans="1:7" ht="12.75" thickBot="1">
      <c r="A30" s="390"/>
      <c r="B30" s="390"/>
      <c r="C30" s="390"/>
      <c r="D30" s="391"/>
      <c r="E30" s="374"/>
      <c r="F30" s="374"/>
      <c r="G30" s="374"/>
    </row>
    <row r="31" spans="1:7" ht="14.25" thickBot="1">
      <c r="A31" s="673" t="s">
        <v>358</v>
      </c>
      <c r="B31" s="674"/>
      <c r="C31" s="674"/>
      <c r="D31" s="675"/>
      <c r="E31" s="374"/>
      <c r="F31" s="374"/>
      <c r="G31" s="374"/>
    </row>
    <row r="32" spans="1:7" ht="42" thickBot="1">
      <c r="A32" s="676" t="s">
        <v>242</v>
      </c>
      <c r="B32" s="677"/>
      <c r="C32" s="677"/>
      <c r="D32" s="678"/>
      <c r="E32" s="332" t="s">
        <v>243</v>
      </c>
      <c r="F32" s="332" t="s">
        <v>240</v>
      </c>
      <c r="G32" s="374"/>
    </row>
    <row r="33" spans="1:7" ht="15.75" thickBot="1">
      <c r="A33" s="670"/>
      <c r="B33" s="671"/>
      <c r="C33" s="671"/>
      <c r="D33" s="672"/>
      <c r="E33" s="356">
        <v>0.062</v>
      </c>
      <c r="F33" s="356">
        <v>0.0145</v>
      </c>
      <c r="G33" s="374"/>
    </row>
    <row r="34" spans="1:7" ht="13.5">
      <c r="A34" s="505" t="str">
        <f>'Salaries - Year 4'!A34</f>
        <v>Manager of Operations</v>
      </c>
      <c r="B34" s="350">
        <v>1</v>
      </c>
      <c r="C34" s="335">
        <f>('Salaries - Year 4'!C34)*(1+$B$5)</f>
        <v>57222</v>
      </c>
      <c r="D34" s="345">
        <f>B34*C34</f>
        <v>57222</v>
      </c>
      <c r="E34" s="357">
        <f>D34*$E$33</f>
        <v>3547.764</v>
      </c>
      <c r="F34" s="357">
        <f>D34*$F$33</f>
        <v>829.719</v>
      </c>
      <c r="G34" s="374"/>
    </row>
    <row r="35" spans="1:7" ht="13.5">
      <c r="A35" s="505" t="str">
        <f>'Salaries - Year 4'!A35</f>
        <v>Teachers</v>
      </c>
      <c r="B35" s="351">
        <v>2</v>
      </c>
      <c r="C35" s="335">
        <f>('Salaries - Year 4'!C35)*(1+$B$5)</f>
        <v>58451.336639999994</v>
      </c>
      <c r="D35" s="345">
        <f aca="true" t="shared" si="4" ref="D35:D56">B35*C35</f>
        <v>116902.67327999999</v>
      </c>
      <c r="E35" s="362">
        <f aca="true" t="shared" si="5" ref="E35:E56">D35*$E$33</f>
        <v>7247.96574336</v>
      </c>
      <c r="F35" s="362">
        <f aca="true" t="shared" si="6" ref="F35:F56">D35*$F$33</f>
        <v>1695.0887625599999</v>
      </c>
      <c r="G35" s="374"/>
    </row>
    <row r="36" spans="1:7" ht="13.5">
      <c r="A36" s="505" t="s">
        <v>487</v>
      </c>
      <c r="B36" s="351">
        <v>1</v>
      </c>
      <c r="C36" s="335">
        <f>('Salaries - Year 4'!C36)*(1+$B$5)</f>
        <v>41616</v>
      </c>
      <c r="D36" s="345">
        <f t="shared" si="4"/>
        <v>41616</v>
      </c>
      <c r="E36" s="362">
        <f t="shared" si="5"/>
        <v>2580.192</v>
      </c>
      <c r="F36" s="362">
        <f t="shared" si="6"/>
        <v>603.432</v>
      </c>
      <c r="G36" s="374"/>
    </row>
    <row r="37" spans="1:7" ht="13.5">
      <c r="A37" s="505">
        <f>'Salaries - Year 4'!A37</f>
        <v>0</v>
      </c>
      <c r="B37" s="351"/>
      <c r="C37" s="335">
        <f>('Salaries - Year 4'!C37)*(1+$B$5)</f>
        <v>0</v>
      </c>
      <c r="D37" s="345">
        <f t="shared" si="4"/>
        <v>0</v>
      </c>
      <c r="E37" s="362">
        <f t="shared" si="5"/>
        <v>0</v>
      </c>
      <c r="F37" s="362">
        <f t="shared" si="6"/>
        <v>0</v>
      </c>
      <c r="G37" s="374"/>
    </row>
    <row r="38" spans="1:7" ht="13.5">
      <c r="A38" s="505">
        <f>'Salaries - Year 4'!A38</f>
        <v>0</v>
      </c>
      <c r="B38" s="351"/>
      <c r="C38" s="335">
        <f>('Salaries - Year 4'!C38)*(1+$B$5)</f>
        <v>0</v>
      </c>
      <c r="D38" s="345">
        <f t="shared" si="4"/>
        <v>0</v>
      </c>
      <c r="E38" s="362">
        <f t="shared" si="5"/>
        <v>0</v>
      </c>
      <c r="F38" s="362">
        <f t="shared" si="6"/>
        <v>0</v>
      </c>
      <c r="G38" s="374"/>
    </row>
    <row r="39" spans="1:7" ht="13.5">
      <c r="A39" s="505">
        <f>'Salaries - Year 4'!A39</f>
        <v>0</v>
      </c>
      <c r="B39" s="351"/>
      <c r="C39" s="335">
        <f>('Salaries - Year 4'!C40)*(1+$B$5)</f>
        <v>0</v>
      </c>
      <c r="D39" s="345">
        <f t="shared" si="4"/>
        <v>0</v>
      </c>
      <c r="E39" s="362">
        <f t="shared" si="5"/>
        <v>0</v>
      </c>
      <c r="F39" s="362">
        <f t="shared" si="6"/>
        <v>0</v>
      </c>
      <c r="G39" s="374"/>
    </row>
    <row r="40" spans="1:7" ht="13.5">
      <c r="A40" s="505">
        <f>'Salaries - Year 4'!A40</f>
        <v>0</v>
      </c>
      <c r="B40" s="351"/>
      <c r="C40" s="335">
        <f>('Salaries - Year 4'!C41)*(1+$B$5)</f>
        <v>0</v>
      </c>
      <c r="D40" s="345">
        <f t="shared" si="4"/>
        <v>0</v>
      </c>
      <c r="E40" s="362">
        <f t="shared" si="5"/>
        <v>0</v>
      </c>
      <c r="F40" s="362">
        <f t="shared" si="6"/>
        <v>0</v>
      </c>
      <c r="G40" s="374"/>
    </row>
    <row r="41" spans="1:7" ht="13.5">
      <c r="A41" s="505">
        <f>'Salaries - Year 4'!A41</f>
        <v>0</v>
      </c>
      <c r="B41" s="351"/>
      <c r="C41" s="335">
        <f>('Salaries - Year 4'!C42)*(1+$B$5)</f>
        <v>0</v>
      </c>
      <c r="D41" s="345">
        <f t="shared" si="4"/>
        <v>0</v>
      </c>
      <c r="E41" s="362">
        <f t="shared" si="5"/>
        <v>0</v>
      </c>
      <c r="F41" s="362">
        <f t="shared" si="6"/>
        <v>0</v>
      </c>
      <c r="G41" s="374"/>
    </row>
    <row r="42" spans="1:7" ht="13.5">
      <c r="A42" s="505">
        <f>'Salaries - Year 4'!A42</f>
        <v>0</v>
      </c>
      <c r="B42" s="351"/>
      <c r="C42" s="335">
        <f>('Salaries - Year 4'!C43)*(1+$B$5)</f>
        <v>0</v>
      </c>
      <c r="D42" s="345">
        <f t="shared" si="4"/>
        <v>0</v>
      </c>
      <c r="E42" s="362">
        <f t="shared" si="5"/>
        <v>0</v>
      </c>
      <c r="F42" s="362">
        <f t="shared" si="6"/>
        <v>0</v>
      </c>
      <c r="G42" s="374"/>
    </row>
    <row r="43" spans="1:7" ht="13.5">
      <c r="A43" s="505">
        <f>'Salaries - Year 4'!A43</f>
        <v>0</v>
      </c>
      <c r="B43" s="351"/>
      <c r="C43" s="335">
        <f>('Salaries - Year 4'!C44)*(1+$B$5)</f>
        <v>0</v>
      </c>
      <c r="D43" s="345">
        <f t="shared" si="4"/>
        <v>0</v>
      </c>
      <c r="E43" s="362">
        <f t="shared" si="5"/>
        <v>0</v>
      </c>
      <c r="F43" s="362">
        <f t="shared" si="6"/>
        <v>0</v>
      </c>
      <c r="G43" s="374"/>
    </row>
    <row r="44" spans="1:7" ht="13.5">
      <c r="A44" s="505">
        <f>'Salaries - Year 4'!A44</f>
        <v>0</v>
      </c>
      <c r="B44" s="351"/>
      <c r="C44" s="335">
        <v>0</v>
      </c>
      <c r="D44" s="345">
        <f t="shared" si="4"/>
        <v>0</v>
      </c>
      <c r="E44" s="362">
        <f t="shared" si="5"/>
        <v>0</v>
      </c>
      <c r="F44" s="362">
        <f t="shared" si="6"/>
        <v>0</v>
      </c>
      <c r="G44" s="374"/>
    </row>
    <row r="45" spans="1:7" ht="13.5">
      <c r="A45" s="505">
        <f>'Salaries - Year 4'!A45</f>
        <v>0</v>
      </c>
      <c r="B45" s="351"/>
      <c r="C45" s="335">
        <f>('Salaries - Year 4'!C46)*(1+$B$5)</f>
        <v>0</v>
      </c>
      <c r="D45" s="345">
        <f t="shared" si="4"/>
        <v>0</v>
      </c>
      <c r="E45" s="362">
        <f t="shared" si="5"/>
        <v>0</v>
      </c>
      <c r="F45" s="362">
        <f t="shared" si="6"/>
        <v>0</v>
      </c>
      <c r="G45" s="374"/>
    </row>
    <row r="46" spans="1:7" ht="13.5">
      <c r="A46" s="505">
        <f>'Salaries - Year 4'!A46</f>
        <v>0</v>
      </c>
      <c r="B46" s="351"/>
      <c r="C46" s="335">
        <f>('Salaries - Year 4'!C47)*(1+$B$5)</f>
        <v>0</v>
      </c>
      <c r="D46" s="345">
        <f t="shared" si="4"/>
        <v>0</v>
      </c>
      <c r="E46" s="362">
        <f t="shared" si="5"/>
        <v>0</v>
      </c>
      <c r="F46" s="362">
        <f t="shared" si="6"/>
        <v>0</v>
      </c>
      <c r="G46" s="374"/>
    </row>
    <row r="47" spans="1:7" ht="13.5">
      <c r="A47" s="505">
        <f>'Salaries - Year 4'!A47</f>
        <v>0</v>
      </c>
      <c r="B47" s="351"/>
      <c r="C47" s="335">
        <f>('Salaries - Year 4'!C48)*(1+$B$5)</f>
        <v>0</v>
      </c>
      <c r="D47" s="345">
        <f t="shared" si="4"/>
        <v>0</v>
      </c>
      <c r="E47" s="362">
        <f t="shared" si="5"/>
        <v>0</v>
      </c>
      <c r="F47" s="362">
        <f t="shared" si="6"/>
        <v>0</v>
      </c>
      <c r="G47" s="374"/>
    </row>
    <row r="48" spans="1:7" ht="13.5">
      <c r="A48" s="505">
        <f>'Salaries - Year 4'!A48</f>
        <v>0</v>
      </c>
      <c r="B48" s="352"/>
      <c r="C48" s="335">
        <f>('Salaries - Year 4'!C49)*(1+$B$5)</f>
        <v>0</v>
      </c>
      <c r="D48" s="345">
        <f t="shared" si="4"/>
        <v>0</v>
      </c>
      <c r="E48" s="362">
        <f t="shared" si="5"/>
        <v>0</v>
      </c>
      <c r="F48" s="362">
        <f t="shared" si="6"/>
        <v>0</v>
      </c>
      <c r="G48" s="374"/>
    </row>
    <row r="49" spans="1:7" ht="13.5">
      <c r="A49" s="505">
        <f>'Salaries - Year 4'!A49</f>
        <v>0</v>
      </c>
      <c r="B49" s="352"/>
      <c r="C49" s="335">
        <f>('Salaries - Year 4'!C50)*(1+$B$5)</f>
        <v>0</v>
      </c>
      <c r="D49" s="345">
        <f t="shared" si="4"/>
        <v>0</v>
      </c>
      <c r="E49" s="362">
        <f t="shared" si="5"/>
        <v>0</v>
      </c>
      <c r="F49" s="362">
        <f t="shared" si="6"/>
        <v>0</v>
      </c>
      <c r="G49" s="374"/>
    </row>
    <row r="50" spans="1:7" ht="13.5">
      <c r="A50" s="505">
        <f>'Salaries - Year 4'!A50</f>
        <v>0</v>
      </c>
      <c r="B50" s="352"/>
      <c r="C50" s="335">
        <f>('Salaries - Year 4'!C51)*(1+$B$5)</f>
        <v>0</v>
      </c>
      <c r="D50" s="345">
        <f t="shared" si="4"/>
        <v>0</v>
      </c>
      <c r="E50" s="362">
        <f t="shared" si="5"/>
        <v>0</v>
      </c>
      <c r="F50" s="362">
        <f t="shared" si="6"/>
        <v>0</v>
      </c>
      <c r="G50" s="374"/>
    </row>
    <row r="51" spans="1:7" ht="13.5">
      <c r="A51" s="505">
        <f>'Salaries - Year 4'!A51</f>
        <v>0</v>
      </c>
      <c r="B51" s="352"/>
      <c r="C51" s="335">
        <f>('Salaries - Year 4'!C52)*(1+$B$5)</f>
        <v>0</v>
      </c>
      <c r="D51" s="345">
        <f t="shared" si="4"/>
        <v>0</v>
      </c>
      <c r="E51" s="362">
        <f t="shared" si="5"/>
        <v>0</v>
      </c>
      <c r="F51" s="362">
        <f t="shared" si="6"/>
        <v>0</v>
      </c>
      <c r="G51" s="374"/>
    </row>
    <row r="52" spans="1:7" ht="13.5">
      <c r="A52" s="505">
        <f>'Salaries - Year 4'!A52</f>
        <v>0</v>
      </c>
      <c r="B52" s="352"/>
      <c r="C52" s="335">
        <f>('Salaries - Year 4'!C53)*(1+$B$5)</f>
        <v>0</v>
      </c>
      <c r="D52" s="345">
        <f t="shared" si="4"/>
        <v>0</v>
      </c>
      <c r="E52" s="362">
        <f t="shared" si="5"/>
        <v>0</v>
      </c>
      <c r="F52" s="362">
        <f t="shared" si="6"/>
        <v>0</v>
      </c>
      <c r="G52" s="374"/>
    </row>
    <row r="53" spans="1:7" ht="13.5">
      <c r="A53" s="505">
        <f>'Salaries - Year 4'!A53</f>
        <v>0</v>
      </c>
      <c r="B53" s="352"/>
      <c r="C53" s="335">
        <f>('Salaries - Year 4'!C54)*(1+$B$5)</f>
        <v>0</v>
      </c>
      <c r="D53" s="345">
        <f t="shared" si="4"/>
        <v>0</v>
      </c>
      <c r="E53" s="362">
        <f t="shared" si="5"/>
        <v>0</v>
      </c>
      <c r="F53" s="362">
        <f t="shared" si="6"/>
        <v>0</v>
      </c>
      <c r="G53" s="374"/>
    </row>
    <row r="54" spans="1:7" ht="13.5">
      <c r="A54" s="505">
        <f>'Salaries - Year 4'!A54</f>
        <v>0</v>
      </c>
      <c r="B54" s="352"/>
      <c r="C54" s="335">
        <f>('Salaries - Year 4'!C55)*(1+$B$5)</f>
        <v>0</v>
      </c>
      <c r="D54" s="345">
        <f t="shared" si="4"/>
        <v>0</v>
      </c>
      <c r="E54" s="362">
        <f t="shared" si="5"/>
        <v>0</v>
      </c>
      <c r="F54" s="362">
        <f t="shared" si="6"/>
        <v>0</v>
      </c>
      <c r="G54" s="374"/>
    </row>
    <row r="55" spans="1:7" ht="13.5">
      <c r="A55" s="505">
        <f>'Salaries - Year 4'!A55</f>
        <v>0</v>
      </c>
      <c r="B55" s="352"/>
      <c r="C55" s="335">
        <f>('Salaries - Year 4'!C56)*(1+$B$5)</f>
        <v>0</v>
      </c>
      <c r="D55" s="345">
        <f>B55*C55</f>
        <v>0</v>
      </c>
      <c r="E55" s="362">
        <f>D55*$E$33</f>
        <v>0</v>
      </c>
      <c r="F55" s="362">
        <f>D55*$F$33</f>
        <v>0</v>
      </c>
      <c r="G55" s="374"/>
    </row>
    <row r="56" spans="1:7" ht="14.25" thickBot="1">
      <c r="A56" s="505">
        <f>'Salaries - Year 4'!A56</f>
        <v>0</v>
      </c>
      <c r="B56" s="352"/>
      <c r="C56" s="335">
        <f>('Salaries - Year 4'!C56)*(1+$B$5)</f>
        <v>0</v>
      </c>
      <c r="D56" s="345">
        <f t="shared" si="4"/>
        <v>0</v>
      </c>
      <c r="E56" s="362">
        <f t="shared" si="5"/>
        <v>0</v>
      </c>
      <c r="F56" s="362">
        <f t="shared" si="6"/>
        <v>0</v>
      </c>
      <c r="G56" s="374"/>
    </row>
    <row r="57" spans="1:7" ht="15" thickBot="1">
      <c r="A57" s="360" t="s">
        <v>241</v>
      </c>
      <c r="B57" s="363">
        <f>SUM(B34:B56)</f>
        <v>4</v>
      </c>
      <c r="C57" s="364"/>
      <c r="D57" s="349">
        <f>SUM(D34:D56)</f>
        <v>215740.67328</v>
      </c>
      <c r="E57" s="349">
        <f>SUM(E34:E56)</f>
        <v>13375.921743359999</v>
      </c>
      <c r="F57" s="349">
        <f>SUM(F34:F56)</f>
        <v>3128.2397625599997</v>
      </c>
      <c r="G57" s="374"/>
    </row>
    <row r="58" spans="1:7" ht="12.75" thickBot="1">
      <c r="A58" s="374"/>
      <c r="B58" s="374"/>
      <c r="C58" s="374"/>
      <c r="D58" s="374"/>
      <c r="E58" s="374"/>
      <c r="F58" s="374"/>
      <c r="G58" s="374"/>
    </row>
    <row r="59" spans="1:7" ht="15" thickBot="1">
      <c r="A59" s="365" t="s">
        <v>6</v>
      </c>
      <c r="B59" s="366" t="s">
        <v>47</v>
      </c>
      <c r="C59" s="374"/>
      <c r="D59" s="374"/>
      <c r="E59" s="374"/>
      <c r="F59" s="374"/>
      <c r="G59" s="374"/>
    </row>
    <row r="60" spans="1:7" ht="15" thickBot="1">
      <c r="A60" s="367" t="s">
        <v>244</v>
      </c>
      <c r="B60" s="349">
        <f>D28</f>
        <v>918309.8923200001</v>
      </c>
      <c r="C60" s="374"/>
      <c r="D60" s="374"/>
      <c r="E60" s="374"/>
      <c r="F60" s="374"/>
      <c r="G60" s="374"/>
    </row>
    <row r="61" spans="1:7" ht="15" thickBot="1">
      <c r="A61" s="368" t="s">
        <v>245</v>
      </c>
      <c r="B61" s="349">
        <f>D57</f>
        <v>215740.67328</v>
      </c>
      <c r="C61" s="374"/>
      <c r="D61" s="374"/>
      <c r="E61" s="374"/>
      <c r="F61" s="374"/>
      <c r="G61" s="374"/>
    </row>
    <row r="62" spans="1:7" ht="15" thickBot="1">
      <c r="A62" s="369" t="s">
        <v>246</v>
      </c>
      <c r="B62" s="349">
        <f>SUM(B60:B61)</f>
        <v>1134050.5656</v>
      </c>
      <c r="C62" s="374"/>
      <c r="D62" s="374"/>
      <c r="E62" s="374"/>
      <c r="F62" s="374"/>
      <c r="G62" s="374"/>
    </row>
    <row r="63" spans="1:7" ht="12">
      <c r="A63" s="374"/>
      <c r="B63" s="374"/>
      <c r="C63" s="374"/>
      <c r="D63" s="374"/>
      <c r="E63" s="374"/>
      <c r="F63" s="374"/>
      <c r="G63" s="374"/>
    </row>
    <row r="64" spans="1:7" ht="12.75" thickBot="1">
      <c r="A64" s="374"/>
      <c r="B64" s="374"/>
      <c r="C64" s="374"/>
      <c r="D64" s="374"/>
      <c r="E64" s="374"/>
      <c r="F64" s="374"/>
      <c r="G64" s="374"/>
    </row>
    <row r="65" spans="1:2" ht="15" thickBot="1">
      <c r="A65" s="365" t="s">
        <v>247</v>
      </c>
      <c r="B65" s="366" t="s">
        <v>47</v>
      </c>
    </row>
    <row r="66" spans="1:2" ht="15" thickBot="1">
      <c r="A66" s="367" t="s">
        <v>244</v>
      </c>
      <c r="B66" s="349">
        <f>G28</f>
        <v>13315.49343864</v>
      </c>
    </row>
    <row r="67" spans="1:2" ht="15" thickBot="1">
      <c r="A67" s="368" t="s">
        <v>245</v>
      </c>
      <c r="B67" s="349">
        <f>F57</f>
        <v>3128.2397625599997</v>
      </c>
    </row>
    <row r="68" spans="1:2" ht="15" thickBot="1">
      <c r="A68" s="369" t="s">
        <v>248</v>
      </c>
      <c r="B68" s="349">
        <f>SUM(B66:B67)</f>
        <v>16443.7332012</v>
      </c>
    </row>
    <row r="70" ht="12.75" thickBot="1"/>
    <row r="71" spans="1:2" ht="15" thickBot="1">
      <c r="A71" s="365" t="s">
        <v>24</v>
      </c>
      <c r="B71" s="366" t="s">
        <v>47</v>
      </c>
    </row>
    <row r="72" spans="1:2" ht="15" thickBot="1">
      <c r="A72" s="367" t="s">
        <v>249</v>
      </c>
      <c r="B72" s="370">
        <f>B28</f>
        <v>15</v>
      </c>
    </row>
    <row r="73" spans="1:2" ht="15" thickBot="1">
      <c r="A73" s="367" t="s">
        <v>250</v>
      </c>
      <c r="B73" s="370">
        <f>B57</f>
        <v>4</v>
      </c>
    </row>
    <row r="74" spans="1:2" ht="15" thickBot="1">
      <c r="A74" s="369" t="s">
        <v>251</v>
      </c>
      <c r="B74" s="370">
        <f>SUM(B72:B73)</f>
        <v>19</v>
      </c>
    </row>
  </sheetData>
  <sheetProtection password="CC59" sheet="1" formatColumns="0" formatRows="0" insertColumns="0" insertRows="0"/>
  <mergeCells count="7">
    <mergeCell ref="A33:D33"/>
    <mergeCell ref="A9:D9"/>
    <mergeCell ref="A10:D10"/>
    <mergeCell ref="A12:D12"/>
    <mergeCell ref="A29:C29"/>
    <mergeCell ref="A31:D31"/>
    <mergeCell ref="A32:D32"/>
  </mergeCells>
  <printOptions/>
  <pageMargins left="0.7" right="0.7" top="0.75" bottom="0.75" header="0.3" footer="0.3"/>
  <pageSetup horizontalDpi="600" verticalDpi="600" orientation="portrait" scale="61" r:id="rId1"/>
  <rowBreaks count="1" manualBreakCount="1">
    <brk id="57" max="255" man="1"/>
  </rowBreaks>
</worksheet>
</file>

<file path=xl/worksheets/sheet8.xml><?xml version="1.0" encoding="utf-8"?>
<worksheet xmlns="http://schemas.openxmlformats.org/spreadsheetml/2006/main" xmlns:r="http://schemas.openxmlformats.org/officeDocument/2006/relationships">
  <sheetPr codeName="Sheet8"/>
  <dimension ref="A1:G32"/>
  <sheetViews>
    <sheetView zoomScalePageLayoutView="0" workbookViewId="0" topLeftCell="A1">
      <selection activeCell="A1" sqref="A1"/>
    </sheetView>
  </sheetViews>
  <sheetFormatPr defaultColWidth="9.140625" defaultRowHeight="12.75"/>
  <cols>
    <col min="1" max="1" width="79.00390625" style="0" customWidth="1"/>
    <col min="2" max="7" width="15.7109375" style="0" customWidth="1"/>
  </cols>
  <sheetData>
    <row r="1" spans="1:7" ht="18">
      <c r="A1" s="315" t="str">
        <f>'Budget with Assumptions'!$A$2</f>
        <v>Chicago Preparatory Charter Middle School</v>
      </c>
      <c r="B1" s="50"/>
      <c r="C1" s="49"/>
      <c r="D1" s="49"/>
      <c r="E1" s="43"/>
      <c r="F1" s="43"/>
      <c r="G1" s="43"/>
    </row>
    <row r="2" spans="1:7" ht="18" thickBot="1">
      <c r="A2" s="316" t="s">
        <v>207</v>
      </c>
      <c r="B2" s="50"/>
      <c r="C2" s="49"/>
      <c r="D2" s="49"/>
      <c r="E2" s="43"/>
      <c r="F2" s="43"/>
      <c r="G2" s="43"/>
    </row>
    <row r="3" spans="2:7" ht="15">
      <c r="B3" s="50"/>
      <c r="C3" s="49"/>
      <c r="D3" s="49"/>
      <c r="E3" s="43"/>
      <c r="F3" s="43"/>
      <c r="G3" s="43"/>
    </row>
    <row r="4" spans="1:7" ht="19.5" customHeight="1">
      <c r="A4" s="303"/>
      <c r="B4" s="44"/>
      <c r="C4" s="44"/>
      <c r="D4" s="44"/>
      <c r="E4" s="44"/>
      <c r="F4" s="44"/>
      <c r="G4" s="44"/>
    </row>
    <row r="5" spans="1:7" ht="13.5" thickBot="1">
      <c r="A5" s="45"/>
      <c r="B5" s="45"/>
      <c r="C5" s="45"/>
      <c r="D5" s="45"/>
      <c r="E5" s="45"/>
      <c r="F5" s="45"/>
      <c r="G5" s="45"/>
    </row>
    <row r="6" spans="1:7" ht="19.5" customHeight="1" thickBot="1">
      <c r="A6" s="305"/>
      <c r="B6" s="680" t="s">
        <v>205</v>
      </c>
      <c r="C6" s="681"/>
      <c r="D6" s="681"/>
      <c r="E6" s="681"/>
      <c r="F6" s="681"/>
      <c r="G6" s="682"/>
    </row>
    <row r="7" spans="1:7" ht="18.75" customHeight="1" thickBot="1">
      <c r="A7" s="309" t="s">
        <v>203</v>
      </c>
      <c r="B7" s="311" t="s">
        <v>56</v>
      </c>
      <c r="C7" s="312">
        <f>'Budget with Assumptions'!L9</f>
        <v>2022</v>
      </c>
      <c r="D7" s="312">
        <f>'Budget with Assumptions'!N9</f>
        <v>2023</v>
      </c>
      <c r="E7" s="312">
        <f>'Budget with Assumptions'!P9</f>
        <v>2024</v>
      </c>
      <c r="F7" s="312">
        <f>'Budget with Assumptions'!R9</f>
        <v>2025</v>
      </c>
      <c r="G7" s="312">
        <f>'Budget with Assumptions'!T9</f>
        <v>2026</v>
      </c>
    </row>
    <row r="8" spans="1:7" ht="12.75">
      <c r="A8" s="310" t="s">
        <v>39</v>
      </c>
      <c r="B8" s="304" t="s">
        <v>92</v>
      </c>
      <c r="C8" s="62"/>
      <c r="D8" s="62"/>
      <c r="E8" s="62"/>
      <c r="F8" s="62"/>
      <c r="G8" s="62"/>
    </row>
    <row r="9" spans="1:7" ht="12.75">
      <c r="A9" s="310" t="s">
        <v>40</v>
      </c>
      <c r="B9" s="304" t="s">
        <v>92</v>
      </c>
      <c r="C9" s="62"/>
      <c r="D9" s="62"/>
      <c r="E9" s="62"/>
      <c r="F9" s="62"/>
      <c r="G9" s="62"/>
    </row>
    <row r="10" spans="1:7" ht="12.75">
      <c r="A10" s="310" t="s">
        <v>41</v>
      </c>
      <c r="B10" s="304" t="s">
        <v>92</v>
      </c>
      <c r="C10" s="62"/>
      <c r="D10" s="62"/>
      <c r="E10" s="62"/>
      <c r="F10" s="62"/>
      <c r="G10" s="62"/>
    </row>
    <row r="11" spans="1:7" ht="12.75">
      <c r="A11" s="310" t="s">
        <v>42</v>
      </c>
      <c r="B11" s="304" t="s">
        <v>92</v>
      </c>
      <c r="C11" s="62"/>
      <c r="D11" s="62"/>
      <c r="E11" s="62"/>
      <c r="F11" s="62"/>
      <c r="G11" s="62"/>
    </row>
    <row r="12" spans="1:7" ht="12.75">
      <c r="A12" s="310" t="s">
        <v>43</v>
      </c>
      <c r="B12" s="304" t="s">
        <v>92</v>
      </c>
      <c r="C12" s="62"/>
      <c r="D12" s="62"/>
      <c r="E12" s="62"/>
      <c r="F12" s="62"/>
      <c r="G12" s="62"/>
    </row>
    <row r="13" spans="1:7" ht="13.5" thickBot="1">
      <c r="A13" s="319" t="s">
        <v>44</v>
      </c>
      <c r="B13" s="304" t="s">
        <v>92</v>
      </c>
      <c r="C13" s="64"/>
      <c r="D13" s="62"/>
      <c r="E13" s="62"/>
      <c r="F13" s="62"/>
      <c r="G13" s="62"/>
    </row>
    <row r="14" spans="1:7" ht="23.25" customHeight="1" thickBot="1">
      <c r="A14" s="321" t="s">
        <v>209</v>
      </c>
      <c r="B14" s="46"/>
      <c r="C14" s="320">
        <f>SUM(C8:C13)</f>
        <v>0</v>
      </c>
      <c r="D14" s="320">
        <f>SUM(D8:D13)</f>
        <v>0</v>
      </c>
      <c r="E14" s="320">
        <f>SUM(E8:E13)</f>
        <v>0</v>
      </c>
      <c r="F14" s="320">
        <f>SUM(F8:F13)</f>
        <v>0</v>
      </c>
      <c r="G14" s="320">
        <f>SUM(G8:G13)</f>
        <v>0</v>
      </c>
    </row>
    <row r="15" spans="1:7" ht="12.75" thickBot="1">
      <c r="A15" s="44"/>
      <c r="B15" s="44"/>
      <c r="C15" s="44"/>
      <c r="D15" s="44"/>
      <c r="E15" s="44"/>
      <c r="F15" s="44"/>
      <c r="G15" s="44"/>
    </row>
    <row r="16" spans="1:7" ht="18.75" customHeight="1" thickBot="1">
      <c r="A16" s="313" t="str">
        <f aca="true" t="shared" si="0" ref="A16:A22">A7</f>
        <v>Clinician Position</v>
      </c>
      <c r="B16" s="680" t="s">
        <v>206</v>
      </c>
      <c r="C16" s="681"/>
      <c r="D16" s="681"/>
      <c r="E16" s="681"/>
      <c r="F16" s="681"/>
      <c r="G16" s="682"/>
    </row>
    <row r="17" spans="1:7" ht="12">
      <c r="A17" s="111" t="str">
        <f t="shared" si="0"/>
        <v>SPED Clinicians-Psychologist (reimbursed by CPS)</v>
      </c>
      <c r="B17" s="237" t="s">
        <v>92</v>
      </c>
      <c r="C17" s="318"/>
      <c r="D17" s="318"/>
      <c r="E17" s="318"/>
      <c r="F17" s="318"/>
      <c r="G17" s="318"/>
    </row>
    <row r="18" spans="1:7" ht="12">
      <c r="A18" s="111" t="str">
        <f t="shared" si="0"/>
        <v>SPED Clinicians-Social Worker (reimbursed by CPS)</v>
      </c>
      <c r="B18" s="237" t="s">
        <v>92</v>
      </c>
      <c r="C18" s="318"/>
      <c r="D18" s="318"/>
      <c r="E18" s="318"/>
      <c r="F18" s="318"/>
      <c r="G18" s="318"/>
    </row>
    <row r="19" spans="1:7" ht="12">
      <c r="A19" s="111" t="str">
        <f t="shared" si="0"/>
        <v>SPED Clinicians-Speech Therapist (reimbursed by CPS)</v>
      </c>
      <c r="B19" s="237" t="s">
        <v>92</v>
      </c>
      <c r="C19" s="318"/>
      <c r="D19" s="318"/>
      <c r="E19" s="318"/>
      <c r="F19" s="318"/>
      <c r="G19" s="318"/>
    </row>
    <row r="20" spans="1:7" ht="12">
      <c r="A20" s="111" t="str">
        <f t="shared" si="0"/>
        <v>SPED Clinicians-Physical Therapist (reimbursed by CPS)</v>
      </c>
      <c r="B20" s="237" t="s">
        <v>92</v>
      </c>
      <c r="C20" s="318"/>
      <c r="D20" s="318"/>
      <c r="E20" s="318"/>
      <c r="F20" s="318"/>
      <c r="G20" s="318"/>
    </row>
    <row r="21" spans="1:7" ht="12">
      <c r="A21" s="111" t="str">
        <f t="shared" si="0"/>
        <v>SPED Clinicians-Occupational Therapist (reimbursed by CPS)</v>
      </c>
      <c r="B21" s="237" t="s">
        <v>92</v>
      </c>
      <c r="C21" s="318"/>
      <c r="D21" s="318"/>
      <c r="E21" s="318"/>
      <c r="F21" s="318"/>
      <c r="G21" s="318"/>
    </row>
    <row r="22" spans="1:7" ht="12.75" customHeight="1">
      <c r="A22" s="111" t="str">
        <f t="shared" si="0"/>
        <v>SPED Clinicians-Nurse (reimbursed by CPS)</v>
      </c>
      <c r="B22" s="237" t="s">
        <v>92</v>
      </c>
      <c r="C22" s="318"/>
      <c r="D22" s="318"/>
      <c r="E22" s="318"/>
      <c r="F22" s="318"/>
      <c r="G22" s="318"/>
    </row>
    <row r="23" spans="1:7" ht="38.25" customHeight="1" thickBot="1">
      <c r="A23" s="63"/>
      <c r="B23" s="44"/>
      <c r="C23" s="44"/>
      <c r="D23" s="44"/>
      <c r="E23" s="44"/>
      <c r="F23" s="44"/>
      <c r="G23" s="44"/>
    </row>
    <row r="24" spans="1:7" ht="18.75" customHeight="1" thickBot="1">
      <c r="A24" s="313" t="str">
        <f>A16</f>
        <v>Clinician Position</v>
      </c>
      <c r="B24" s="680" t="s">
        <v>208</v>
      </c>
      <c r="C24" s="681"/>
      <c r="D24" s="681"/>
      <c r="E24" s="681"/>
      <c r="F24" s="681"/>
      <c r="G24" s="682"/>
    </row>
    <row r="25" spans="1:7" ht="12">
      <c r="A25" s="111" t="str">
        <f aca="true" t="shared" si="1" ref="A25:A30">A8</f>
        <v>SPED Clinicians-Psychologist (reimbursed by CPS)</v>
      </c>
      <c r="B25" s="238" t="s">
        <v>92</v>
      </c>
      <c r="C25" s="307">
        <f aca="true" t="shared" si="2" ref="C25:G30">C8*C17</f>
        <v>0</v>
      </c>
      <c r="D25" s="307">
        <f t="shared" si="2"/>
        <v>0</v>
      </c>
      <c r="E25" s="307">
        <f t="shared" si="2"/>
        <v>0</v>
      </c>
      <c r="F25" s="307">
        <f t="shared" si="2"/>
        <v>0</v>
      </c>
      <c r="G25" s="307">
        <f t="shared" si="2"/>
        <v>0</v>
      </c>
    </row>
    <row r="26" spans="1:7" ht="12">
      <c r="A26" s="112" t="str">
        <f t="shared" si="1"/>
        <v>SPED Clinicians-Social Worker (reimbursed by CPS)</v>
      </c>
      <c r="B26" s="238" t="s">
        <v>92</v>
      </c>
      <c r="C26" s="307">
        <f t="shared" si="2"/>
        <v>0</v>
      </c>
      <c r="D26" s="307">
        <f t="shared" si="2"/>
        <v>0</v>
      </c>
      <c r="E26" s="307">
        <f t="shared" si="2"/>
        <v>0</v>
      </c>
      <c r="F26" s="307">
        <f t="shared" si="2"/>
        <v>0</v>
      </c>
      <c r="G26" s="307">
        <f t="shared" si="2"/>
        <v>0</v>
      </c>
    </row>
    <row r="27" spans="1:7" ht="12">
      <c r="A27" s="112" t="str">
        <f t="shared" si="1"/>
        <v>SPED Clinicians-Speech Therapist (reimbursed by CPS)</v>
      </c>
      <c r="B27" s="238" t="s">
        <v>92</v>
      </c>
      <c r="C27" s="307">
        <f t="shared" si="2"/>
        <v>0</v>
      </c>
      <c r="D27" s="307">
        <f t="shared" si="2"/>
        <v>0</v>
      </c>
      <c r="E27" s="307">
        <f t="shared" si="2"/>
        <v>0</v>
      </c>
      <c r="F27" s="307">
        <f t="shared" si="2"/>
        <v>0</v>
      </c>
      <c r="G27" s="307">
        <f t="shared" si="2"/>
        <v>0</v>
      </c>
    </row>
    <row r="28" spans="1:7" ht="12">
      <c r="A28" s="112" t="str">
        <f t="shared" si="1"/>
        <v>SPED Clinicians-Physical Therapist (reimbursed by CPS)</v>
      </c>
      <c r="B28" s="238" t="s">
        <v>92</v>
      </c>
      <c r="C28" s="307">
        <f t="shared" si="2"/>
        <v>0</v>
      </c>
      <c r="D28" s="307">
        <f t="shared" si="2"/>
        <v>0</v>
      </c>
      <c r="E28" s="307">
        <f t="shared" si="2"/>
        <v>0</v>
      </c>
      <c r="F28" s="307">
        <f t="shared" si="2"/>
        <v>0</v>
      </c>
      <c r="G28" s="307">
        <f t="shared" si="2"/>
        <v>0</v>
      </c>
    </row>
    <row r="29" spans="1:7" ht="12">
      <c r="A29" s="112" t="str">
        <f t="shared" si="1"/>
        <v>SPED Clinicians-Occupational Therapist (reimbursed by CPS)</v>
      </c>
      <c r="B29" s="238" t="s">
        <v>92</v>
      </c>
      <c r="C29" s="307">
        <f t="shared" si="2"/>
        <v>0</v>
      </c>
      <c r="D29" s="307">
        <f t="shared" si="2"/>
        <v>0</v>
      </c>
      <c r="E29" s="307">
        <f t="shared" si="2"/>
        <v>0</v>
      </c>
      <c r="F29" s="307">
        <f t="shared" si="2"/>
        <v>0</v>
      </c>
      <c r="G29" s="307">
        <f t="shared" si="2"/>
        <v>0</v>
      </c>
    </row>
    <row r="30" spans="1:7" ht="12.75" thickBot="1">
      <c r="A30" s="112" t="str">
        <f t="shared" si="1"/>
        <v>SPED Clinicians-Nurse (reimbursed by CPS)</v>
      </c>
      <c r="B30" s="238" t="s">
        <v>92</v>
      </c>
      <c r="C30" s="307">
        <f t="shared" si="2"/>
        <v>0</v>
      </c>
      <c r="D30" s="307">
        <f t="shared" si="2"/>
        <v>0</v>
      </c>
      <c r="E30" s="307">
        <f t="shared" si="2"/>
        <v>0</v>
      </c>
      <c r="F30" s="307">
        <f t="shared" si="2"/>
        <v>0</v>
      </c>
      <c r="G30" s="307">
        <f t="shared" si="2"/>
        <v>0</v>
      </c>
    </row>
    <row r="31" spans="1:7" ht="20.25" customHeight="1" thickBot="1">
      <c r="A31" s="314" t="s">
        <v>204</v>
      </c>
      <c r="B31" s="306" t="s">
        <v>92</v>
      </c>
      <c r="C31" s="308">
        <f>SUM(C25:C30)</f>
        <v>0</v>
      </c>
      <c r="D31" s="308">
        <f>SUM(D25:D30)</f>
        <v>0</v>
      </c>
      <c r="E31" s="308">
        <f>SUM(E25:E30)</f>
        <v>0</v>
      </c>
      <c r="F31" s="308">
        <f>SUM(F25:F30)</f>
        <v>0</v>
      </c>
      <c r="G31" s="308">
        <f>SUM(G25:G30)</f>
        <v>0</v>
      </c>
    </row>
    <row r="32" spans="1:7" s="88" customFormat="1" ht="12">
      <c r="A32" s="317"/>
      <c r="B32" s="63"/>
      <c r="C32" s="63"/>
      <c r="D32" s="63"/>
      <c r="E32" s="63"/>
      <c r="F32" s="63"/>
      <c r="G32" s="63"/>
    </row>
  </sheetData>
  <sheetProtection sheet="1" objects="1" scenarios="1" formatColumns="0" formatRows="0"/>
  <mergeCells count="3">
    <mergeCell ref="B6:G6"/>
    <mergeCell ref="B16:G16"/>
    <mergeCell ref="B24:G24"/>
  </mergeCells>
  <conditionalFormatting sqref="B31:G31">
    <cfRule type="expression" priority="8" dxfId="2" stopIfTrue="1">
      <formula>#REF!="Yes"</formula>
    </cfRule>
  </conditionalFormatting>
  <conditionalFormatting sqref="B7:B13">
    <cfRule type="expression" priority="7" dxfId="1" stopIfTrue="1">
      <formula>'Contractual Clinicians'!#REF!="Prior Fiscal Year"</formula>
    </cfRule>
  </conditionalFormatting>
  <dataValidations count="1">
    <dataValidation allowBlank="1" showInputMessage="1" showErrorMessage="1" prompt="You may change any of the job titles." sqref="A7"/>
  </dataValidations>
  <printOptions/>
  <pageMargins left="0" right="0" top="0.75" bottom="0.75" header="0.3" footer="0.3"/>
  <pageSetup horizontalDpi="300" verticalDpi="300" orientation="landscape" scale="65" r:id="rId2"/>
  <drawing r:id="rId1"/>
</worksheet>
</file>

<file path=xl/worksheets/sheet9.xml><?xml version="1.0" encoding="utf-8"?>
<worksheet xmlns="http://schemas.openxmlformats.org/spreadsheetml/2006/main" xmlns:r="http://schemas.openxmlformats.org/officeDocument/2006/relationships">
  <sheetPr codeName="Sheet9"/>
  <dimension ref="A1:AA64"/>
  <sheetViews>
    <sheetView zoomScale="70" zoomScaleNormal="70" zoomScalePageLayoutView="0" workbookViewId="0" topLeftCell="A52">
      <selection activeCell="F60" sqref="F60"/>
    </sheetView>
  </sheetViews>
  <sheetFormatPr defaultColWidth="8.8515625" defaultRowHeight="12.75"/>
  <cols>
    <col min="1" max="1" width="37.140625" style="195" customWidth="1"/>
    <col min="2" max="3" width="30.7109375" style="195" customWidth="1"/>
    <col min="4" max="4" width="32.7109375" style="195" customWidth="1"/>
    <col min="5" max="6" width="18.421875" style="195" customWidth="1"/>
    <col min="7" max="7" width="23.7109375" style="195" bestFit="1" customWidth="1"/>
    <col min="8" max="8" width="84.421875" style="510" customWidth="1"/>
    <col min="9" max="9" width="20.8515625" style="510" customWidth="1"/>
    <col min="10" max="10" width="17.421875" style="510" customWidth="1"/>
    <col min="11" max="11" width="22.8515625" style="510" bestFit="1" customWidth="1"/>
    <col min="12" max="12" width="23.7109375" style="510" bestFit="1" customWidth="1"/>
    <col min="13" max="13" width="66.57421875" style="510" customWidth="1"/>
    <col min="14" max="14" width="20.8515625" style="510" customWidth="1"/>
    <col min="15" max="15" width="17.421875" style="510" customWidth="1"/>
    <col min="16" max="16" width="22.8515625" style="510" bestFit="1" customWidth="1"/>
    <col min="17" max="17" width="23.7109375" style="510" bestFit="1" customWidth="1"/>
    <col min="18" max="18" width="64.57421875" style="510" customWidth="1"/>
    <col min="19" max="19" width="20.8515625" style="510" customWidth="1"/>
    <col min="20" max="20" width="17.421875" style="510" customWidth="1"/>
    <col min="21" max="21" width="22.8515625" style="510" bestFit="1" customWidth="1"/>
    <col min="22" max="22" width="23.7109375" style="510" bestFit="1" customWidth="1"/>
    <col min="23" max="23" width="63.7109375" style="510" customWidth="1"/>
    <col min="24" max="24" width="20.8515625" style="195" customWidth="1"/>
    <col min="25" max="25" width="17.421875" style="195" customWidth="1"/>
    <col min="26" max="26" width="22.8515625" style="195" bestFit="1" customWidth="1"/>
    <col min="27" max="27" width="23.7109375" style="195" bestFit="1" customWidth="1"/>
    <col min="28" max="16384" width="8.8515625" style="195" customWidth="1"/>
  </cols>
  <sheetData>
    <row r="1" spans="1:7" ht="20.25" customHeight="1" thickBot="1">
      <c r="A1" s="688" t="str">
        <f>'Budget with Assumptions'!$A$2</f>
        <v>Chicago Preparatory Charter Middle School</v>
      </c>
      <c r="B1" s="689"/>
      <c r="C1" s="548"/>
      <c r="D1" s="392"/>
      <c r="E1" s="392"/>
      <c r="F1" s="392"/>
      <c r="G1" s="393"/>
    </row>
    <row r="2" spans="1:7" ht="13.5">
      <c r="A2" s="394"/>
      <c r="B2" s="392"/>
      <c r="C2" s="392"/>
      <c r="D2" s="392"/>
      <c r="E2" s="392"/>
      <c r="F2" s="392"/>
      <c r="G2" s="393"/>
    </row>
    <row r="3" spans="1:7" ht="13.5">
      <c r="A3" s="395" t="str">
        <f>Instructions!B1</f>
        <v>Chicago Preparatory Charter Middle School</v>
      </c>
      <c r="B3" s="392"/>
      <c r="C3" s="392"/>
      <c r="D3" s="392"/>
      <c r="E3" s="392"/>
      <c r="F3" s="392"/>
      <c r="G3" s="393"/>
    </row>
    <row r="6" spans="1:27" s="248" customFormat="1" ht="13.5">
      <c r="A6" s="396"/>
      <c r="B6" s="392"/>
      <c r="C6" s="392"/>
      <c r="D6" s="392"/>
      <c r="E6" s="392"/>
      <c r="F6" s="392"/>
      <c r="G6" s="393"/>
      <c r="H6" s="509"/>
      <c r="I6" s="507"/>
      <c r="J6" s="507"/>
      <c r="K6" s="507"/>
      <c r="L6" s="489"/>
      <c r="M6" s="509"/>
      <c r="N6" s="507"/>
      <c r="O6" s="507"/>
      <c r="P6" s="507"/>
      <c r="Q6" s="489"/>
      <c r="R6" s="509"/>
      <c r="S6" s="507"/>
      <c r="T6" s="507"/>
      <c r="U6" s="507"/>
      <c r="V6" s="489"/>
      <c r="W6" s="509"/>
      <c r="X6" s="392"/>
      <c r="Y6" s="392"/>
      <c r="Z6" s="392"/>
      <c r="AA6" s="393"/>
    </row>
    <row r="7" spans="8:23" s="248" customFormat="1" ht="12.75" thickBot="1">
      <c r="H7" s="510"/>
      <c r="I7" s="510"/>
      <c r="J7" s="510"/>
      <c r="K7" s="510"/>
      <c r="L7" s="510"/>
      <c r="M7" s="510"/>
      <c r="N7" s="510"/>
      <c r="O7" s="510"/>
      <c r="P7" s="510"/>
      <c r="Q7" s="510"/>
      <c r="R7" s="510"/>
      <c r="S7" s="510"/>
      <c r="T7" s="510"/>
      <c r="U7" s="510"/>
      <c r="V7" s="510"/>
      <c r="W7" s="510"/>
    </row>
    <row r="8" spans="1:7" ht="14.25" thickBot="1">
      <c r="A8" s="685" t="s">
        <v>57</v>
      </c>
      <c r="B8" s="686"/>
      <c r="C8" s="686"/>
      <c r="D8" s="686"/>
      <c r="E8" s="686"/>
      <c r="F8" s="686"/>
      <c r="G8" s="686"/>
    </row>
    <row r="9" spans="1:7" ht="18" thickBot="1">
      <c r="A9" s="683">
        <f>2022</f>
        <v>2022</v>
      </c>
      <c r="B9" s="684"/>
      <c r="C9" s="684"/>
      <c r="D9" s="684"/>
      <c r="E9" s="684"/>
      <c r="F9" s="684"/>
      <c r="G9" s="684"/>
    </row>
    <row r="10" spans="1:7" ht="14.25" thickBot="1">
      <c r="A10" s="578"/>
      <c r="B10" s="579"/>
      <c r="C10" s="579"/>
      <c r="D10" s="579"/>
      <c r="E10" s="579"/>
      <c r="F10" s="579"/>
      <c r="G10" s="580"/>
    </row>
    <row r="11" spans="1:7" ht="14.25" thickBot="1">
      <c r="A11" s="581"/>
      <c r="B11" s="582" t="s">
        <v>364</v>
      </c>
      <c r="C11" s="582" t="s">
        <v>362</v>
      </c>
      <c r="D11" s="582" t="s">
        <v>304</v>
      </c>
      <c r="E11" s="583" t="s">
        <v>365</v>
      </c>
      <c r="F11" s="584" t="s">
        <v>363</v>
      </c>
      <c r="G11" s="584" t="s">
        <v>324</v>
      </c>
    </row>
    <row r="12" spans="1:7" ht="13.5">
      <c r="A12" s="585" t="s">
        <v>360</v>
      </c>
      <c r="B12" s="586">
        <v>5724.67</v>
      </c>
      <c r="C12" s="586">
        <v>5350.16</v>
      </c>
      <c r="D12" s="586">
        <v>6634.2</v>
      </c>
      <c r="E12" s="587"/>
      <c r="F12" s="588">
        <v>90</v>
      </c>
      <c r="G12" s="589"/>
    </row>
    <row r="13" spans="1:7" ht="13.5">
      <c r="A13" s="590" t="s">
        <v>361</v>
      </c>
      <c r="B13" s="586">
        <v>2090.21</v>
      </c>
      <c r="C13" s="586">
        <v>1953.47</v>
      </c>
      <c r="D13" s="586">
        <v>2422.29</v>
      </c>
      <c r="E13" s="463"/>
      <c r="F13" s="463"/>
      <c r="G13" s="591"/>
    </row>
    <row r="14" spans="1:7" ht="14.25" thickBot="1">
      <c r="A14" s="592"/>
      <c r="B14" s="463"/>
      <c r="C14" s="463"/>
      <c r="D14" s="463"/>
      <c r="E14" s="463"/>
      <c r="F14" s="463"/>
      <c r="G14" s="591"/>
    </row>
    <row r="15" spans="1:7" ht="14.25" thickBot="1">
      <c r="A15" s="592"/>
      <c r="B15" s="593" t="s">
        <v>241</v>
      </c>
      <c r="C15" s="594"/>
      <c r="D15" s="594"/>
      <c r="E15" s="593"/>
      <c r="F15" s="593"/>
      <c r="G15" s="594"/>
    </row>
    <row r="16" spans="1:7" ht="15.75" thickBot="1">
      <c r="A16" s="595"/>
      <c r="B16" s="596">
        <f>SUM(B12:B13)*E12</f>
        <v>0</v>
      </c>
      <c r="C16" s="596">
        <f>SUM(C12:C13)*F12</f>
        <v>657326.7</v>
      </c>
      <c r="D16" s="596">
        <f>SUM(D12:D13)*G12</f>
        <v>0</v>
      </c>
      <c r="E16" s="597">
        <f>+E12</f>
        <v>0</v>
      </c>
      <c r="F16" s="597">
        <f>+F12</f>
        <v>90</v>
      </c>
      <c r="G16" s="597">
        <f>+G12</f>
        <v>0</v>
      </c>
    </row>
    <row r="17" spans="1:27" s="248" customFormat="1" ht="13.5">
      <c r="A17" s="598"/>
      <c r="B17" s="599"/>
      <c r="C17" s="599"/>
      <c r="D17" s="463"/>
      <c r="E17" s="463"/>
      <c r="F17" s="463"/>
      <c r="G17" s="591"/>
      <c r="H17" s="508"/>
      <c r="I17" s="506"/>
      <c r="J17" s="507"/>
      <c r="K17" s="507"/>
      <c r="L17" s="489"/>
      <c r="M17" s="508"/>
      <c r="N17" s="506"/>
      <c r="O17" s="507"/>
      <c r="P17" s="507"/>
      <c r="Q17" s="489"/>
      <c r="R17" s="508"/>
      <c r="S17" s="506"/>
      <c r="T17" s="507"/>
      <c r="U17" s="507"/>
      <c r="V17" s="489"/>
      <c r="W17" s="508"/>
      <c r="X17" s="302"/>
      <c r="Y17" s="392"/>
      <c r="Z17" s="392"/>
      <c r="AA17" s="393"/>
    </row>
    <row r="18" spans="1:27" s="248" customFormat="1" ht="13.5">
      <c r="A18" s="592"/>
      <c r="B18" s="463"/>
      <c r="C18" s="463"/>
      <c r="D18" s="463"/>
      <c r="E18" s="463"/>
      <c r="F18" s="463"/>
      <c r="G18" s="591"/>
      <c r="H18" s="509"/>
      <c r="I18" s="507"/>
      <c r="J18" s="507"/>
      <c r="K18" s="507"/>
      <c r="L18" s="489"/>
      <c r="M18" s="509"/>
      <c r="N18" s="507"/>
      <c r="O18" s="507"/>
      <c r="P18" s="507"/>
      <c r="Q18" s="489"/>
      <c r="R18" s="509"/>
      <c r="S18" s="507"/>
      <c r="T18" s="507"/>
      <c r="U18" s="507"/>
      <c r="V18" s="489"/>
      <c r="W18" s="509"/>
      <c r="X18" s="392"/>
      <c r="Y18" s="392"/>
      <c r="Z18" s="392"/>
      <c r="AA18" s="393"/>
    </row>
    <row r="19" spans="1:23" s="248" customFormat="1" ht="12.75" thickBot="1">
      <c r="A19" s="600"/>
      <c r="B19" s="600"/>
      <c r="C19" s="600"/>
      <c r="D19" s="600"/>
      <c r="E19" s="600"/>
      <c r="F19" s="600"/>
      <c r="G19" s="600"/>
      <c r="H19" s="510"/>
      <c r="I19" s="510"/>
      <c r="J19" s="510"/>
      <c r="K19" s="510"/>
      <c r="L19" s="510"/>
      <c r="M19" s="510"/>
      <c r="N19" s="510"/>
      <c r="O19" s="510"/>
      <c r="P19" s="510"/>
      <c r="Q19" s="510"/>
      <c r="R19" s="510"/>
      <c r="S19" s="510"/>
      <c r="T19" s="510"/>
      <c r="U19" s="510"/>
      <c r="V19" s="510"/>
      <c r="W19" s="510"/>
    </row>
    <row r="20" spans="1:7" ht="14.25" thickBot="1">
      <c r="A20" s="685" t="s">
        <v>57</v>
      </c>
      <c r="B20" s="686"/>
      <c r="C20" s="686"/>
      <c r="D20" s="686"/>
      <c r="E20" s="686"/>
      <c r="F20" s="686"/>
      <c r="G20" s="686"/>
    </row>
    <row r="21" spans="1:7" ht="18" thickBot="1">
      <c r="A21" s="683">
        <v>2023</v>
      </c>
      <c r="B21" s="684"/>
      <c r="C21" s="684"/>
      <c r="D21" s="684"/>
      <c r="E21" s="684"/>
      <c r="F21" s="684"/>
      <c r="G21" s="684"/>
    </row>
    <row r="22" spans="1:7" ht="14.25" thickBot="1">
      <c r="A22" s="578"/>
      <c r="B22" s="579"/>
      <c r="C22" s="579"/>
      <c r="D22" s="579"/>
      <c r="E22" s="579"/>
      <c r="F22" s="579"/>
      <c r="G22" s="580"/>
    </row>
    <row r="23" spans="1:7" ht="14.25" thickBot="1">
      <c r="A23" s="581"/>
      <c r="B23" s="582" t="s">
        <v>364</v>
      </c>
      <c r="C23" s="582" t="s">
        <v>362</v>
      </c>
      <c r="D23" s="582" t="s">
        <v>304</v>
      </c>
      <c r="E23" s="583" t="s">
        <v>365</v>
      </c>
      <c r="F23" s="584" t="s">
        <v>363</v>
      </c>
      <c r="G23" s="584" t="s">
        <v>324</v>
      </c>
    </row>
    <row r="24" spans="1:7" ht="13.5">
      <c r="A24" s="585" t="s">
        <v>360</v>
      </c>
      <c r="B24" s="586">
        <v>5724.67</v>
      </c>
      <c r="C24" s="586">
        <v>5350.16</v>
      </c>
      <c r="D24" s="586">
        <v>6634.2</v>
      </c>
      <c r="E24" s="587"/>
      <c r="F24" s="588">
        <v>135</v>
      </c>
      <c r="G24" s="589"/>
    </row>
    <row r="25" spans="1:7" ht="13.5">
      <c r="A25" s="590" t="s">
        <v>361</v>
      </c>
      <c r="B25" s="586">
        <v>2090.21</v>
      </c>
      <c r="C25" s="586">
        <v>1953.47</v>
      </c>
      <c r="D25" s="586">
        <v>2422.29</v>
      </c>
      <c r="E25" s="463"/>
      <c r="F25" s="463"/>
      <c r="G25" s="591"/>
    </row>
    <row r="26" spans="1:7" ht="14.25" thickBot="1">
      <c r="A26" s="592"/>
      <c r="B26" s="463"/>
      <c r="C26" s="463"/>
      <c r="D26" s="463"/>
      <c r="E26" s="463"/>
      <c r="F26" s="463"/>
      <c r="G26" s="591"/>
    </row>
    <row r="27" spans="1:7" ht="14.25" thickBot="1">
      <c r="A27" s="592"/>
      <c r="B27" s="593" t="s">
        <v>241</v>
      </c>
      <c r="C27" s="594"/>
      <c r="D27" s="594"/>
      <c r="E27" s="593"/>
      <c r="F27" s="593"/>
      <c r="G27" s="594"/>
    </row>
    <row r="28" spans="1:7" ht="15.75" thickBot="1">
      <c r="A28" s="595"/>
      <c r="B28" s="596">
        <f>SUM(B24:B25)*E24</f>
        <v>0</v>
      </c>
      <c r="C28" s="596">
        <f>SUM(C24:C25)*F24</f>
        <v>985990.05</v>
      </c>
      <c r="D28" s="596">
        <f>SUM(D24:D25)*G24</f>
        <v>0</v>
      </c>
      <c r="E28" s="597">
        <f>+E24</f>
        <v>0</v>
      </c>
      <c r="F28" s="597">
        <f>+F24</f>
        <v>135</v>
      </c>
      <c r="G28" s="597">
        <f>+G24</f>
        <v>0</v>
      </c>
    </row>
    <row r="29" spans="1:27" s="248" customFormat="1" ht="13.5">
      <c r="A29" s="598"/>
      <c r="B29" s="599"/>
      <c r="C29" s="599"/>
      <c r="D29" s="463"/>
      <c r="E29" s="463"/>
      <c r="F29" s="463"/>
      <c r="G29" s="591"/>
      <c r="H29" s="508"/>
      <c r="I29" s="506"/>
      <c r="J29" s="507"/>
      <c r="K29" s="507"/>
      <c r="L29" s="489"/>
      <c r="M29" s="508"/>
      <c r="N29" s="506"/>
      <c r="O29" s="507"/>
      <c r="P29" s="507"/>
      <c r="Q29" s="489"/>
      <c r="R29" s="508"/>
      <c r="S29" s="506"/>
      <c r="T29" s="507"/>
      <c r="U29" s="507"/>
      <c r="V29" s="489"/>
      <c r="W29" s="508"/>
      <c r="X29" s="302"/>
      <c r="Y29" s="392"/>
      <c r="Z29" s="392"/>
      <c r="AA29" s="393"/>
    </row>
    <row r="30" spans="1:27" s="248" customFormat="1" ht="13.5">
      <c r="A30" s="592"/>
      <c r="B30" s="463"/>
      <c r="C30" s="463"/>
      <c r="D30" s="463"/>
      <c r="E30" s="463"/>
      <c r="F30" s="463"/>
      <c r="G30" s="591"/>
      <c r="H30" s="509"/>
      <c r="I30" s="507"/>
      <c r="J30" s="507"/>
      <c r="K30" s="507"/>
      <c r="L30" s="489"/>
      <c r="M30" s="509"/>
      <c r="N30" s="507"/>
      <c r="O30" s="507"/>
      <c r="P30" s="507"/>
      <c r="Q30" s="489"/>
      <c r="R30" s="509"/>
      <c r="S30" s="507"/>
      <c r="T30" s="507"/>
      <c r="U30" s="507"/>
      <c r="V30" s="489"/>
      <c r="W30" s="509"/>
      <c r="X30" s="392"/>
      <c r="Y30" s="392"/>
      <c r="Z30" s="392"/>
      <c r="AA30" s="393"/>
    </row>
    <row r="31" spans="1:23" s="248" customFormat="1" ht="12.75" thickBot="1">
      <c r="A31" s="600"/>
      <c r="B31" s="600"/>
      <c r="C31" s="600"/>
      <c r="D31" s="600"/>
      <c r="E31" s="600"/>
      <c r="F31" s="600"/>
      <c r="G31" s="600"/>
      <c r="H31" s="510"/>
      <c r="I31" s="510"/>
      <c r="J31" s="510"/>
      <c r="K31" s="510"/>
      <c r="L31" s="510"/>
      <c r="M31" s="510"/>
      <c r="N31" s="510"/>
      <c r="O31" s="510"/>
      <c r="P31" s="510"/>
      <c r="Q31" s="510"/>
      <c r="R31" s="510"/>
      <c r="S31" s="510"/>
      <c r="T31" s="510"/>
      <c r="U31" s="510"/>
      <c r="V31" s="510"/>
      <c r="W31" s="510"/>
    </row>
    <row r="32" spans="1:7" ht="14.25" thickBot="1">
      <c r="A32" s="685" t="s">
        <v>57</v>
      </c>
      <c r="B32" s="686"/>
      <c r="C32" s="686"/>
      <c r="D32" s="686"/>
      <c r="E32" s="686"/>
      <c r="F32" s="686"/>
      <c r="G32" s="686"/>
    </row>
    <row r="33" spans="1:7" ht="18" thickBot="1">
      <c r="A33" s="683">
        <f>A21+1</f>
        <v>2024</v>
      </c>
      <c r="B33" s="684"/>
      <c r="C33" s="684"/>
      <c r="D33" s="684"/>
      <c r="E33" s="684"/>
      <c r="F33" s="684"/>
      <c r="G33" s="684"/>
    </row>
    <row r="34" spans="1:7" ht="14.25" thickBot="1">
      <c r="A34" s="578"/>
      <c r="B34" s="579"/>
      <c r="C34" s="579"/>
      <c r="D34" s="579"/>
      <c r="E34" s="579"/>
      <c r="F34" s="579"/>
      <c r="G34" s="580"/>
    </row>
    <row r="35" spans="1:7" ht="14.25" thickBot="1">
      <c r="A35" s="581"/>
      <c r="B35" s="582" t="s">
        <v>364</v>
      </c>
      <c r="C35" s="582" t="s">
        <v>362</v>
      </c>
      <c r="D35" s="582" t="s">
        <v>304</v>
      </c>
      <c r="E35" s="583" t="s">
        <v>365</v>
      </c>
      <c r="F35" s="584" t="s">
        <v>363</v>
      </c>
      <c r="G35" s="584" t="s">
        <v>324</v>
      </c>
    </row>
    <row r="36" spans="1:7" ht="13.5">
      <c r="A36" s="585" t="s">
        <v>360</v>
      </c>
      <c r="B36" s="586">
        <v>5724.67</v>
      </c>
      <c r="C36" s="586">
        <v>5350.16</v>
      </c>
      <c r="D36" s="586">
        <v>6634.2</v>
      </c>
      <c r="E36" s="587"/>
      <c r="F36" s="588">
        <v>180</v>
      </c>
      <c r="G36" s="589"/>
    </row>
    <row r="37" spans="1:7" ht="13.5">
      <c r="A37" s="590" t="s">
        <v>361</v>
      </c>
      <c r="B37" s="586">
        <v>2090.21</v>
      </c>
      <c r="C37" s="586">
        <v>1953.47</v>
      </c>
      <c r="D37" s="586">
        <v>2422.29</v>
      </c>
      <c r="E37" s="463"/>
      <c r="F37" s="463"/>
      <c r="G37" s="591"/>
    </row>
    <row r="38" spans="1:7" ht="14.25" thickBot="1">
      <c r="A38" s="592"/>
      <c r="B38" s="463"/>
      <c r="C38" s="463"/>
      <c r="D38" s="463"/>
      <c r="E38" s="463"/>
      <c r="F38" s="463"/>
      <c r="G38" s="591"/>
    </row>
    <row r="39" spans="1:7" ht="14.25" thickBot="1">
      <c r="A39" s="592"/>
      <c r="B39" s="593" t="s">
        <v>241</v>
      </c>
      <c r="C39" s="594"/>
      <c r="D39" s="594"/>
      <c r="E39" s="593"/>
      <c r="F39" s="593"/>
      <c r="G39" s="594"/>
    </row>
    <row r="40" spans="1:7" ht="15.75" thickBot="1">
      <c r="A40" s="595"/>
      <c r="B40" s="596">
        <f>SUM(B36:B37)*E36</f>
        <v>0</v>
      </c>
      <c r="C40" s="596">
        <f>SUM(C36:C37)*F36</f>
        <v>1314653.4</v>
      </c>
      <c r="D40" s="596">
        <f>SUM(D36:D37)*G36</f>
        <v>0</v>
      </c>
      <c r="E40" s="597">
        <f>+E36</f>
        <v>0</v>
      </c>
      <c r="F40" s="597">
        <f>+F36</f>
        <v>180</v>
      </c>
      <c r="G40" s="597">
        <f>+G36</f>
        <v>0</v>
      </c>
    </row>
    <row r="41" spans="1:27" s="248" customFormat="1" ht="13.5">
      <c r="A41" s="598"/>
      <c r="B41" s="599"/>
      <c r="C41" s="599"/>
      <c r="D41" s="463"/>
      <c r="E41" s="463"/>
      <c r="F41" s="463"/>
      <c r="G41" s="591"/>
      <c r="H41" s="508"/>
      <c r="I41" s="506"/>
      <c r="J41" s="507"/>
      <c r="K41" s="507"/>
      <c r="L41" s="489"/>
      <c r="M41" s="508"/>
      <c r="N41" s="506"/>
      <c r="O41" s="507"/>
      <c r="P41" s="507"/>
      <c r="Q41" s="489"/>
      <c r="R41" s="508"/>
      <c r="S41" s="506"/>
      <c r="T41" s="507"/>
      <c r="U41" s="507"/>
      <c r="V41" s="489"/>
      <c r="W41" s="508"/>
      <c r="X41" s="302"/>
      <c r="Y41" s="392"/>
      <c r="Z41" s="392"/>
      <c r="AA41" s="393"/>
    </row>
    <row r="42" spans="1:27" s="248" customFormat="1" ht="13.5">
      <c r="A42" s="592"/>
      <c r="B42" s="463"/>
      <c r="C42" s="463"/>
      <c r="D42" s="463"/>
      <c r="E42" s="463"/>
      <c r="F42" s="463"/>
      <c r="G42" s="591"/>
      <c r="H42" s="509"/>
      <c r="I42" s="507"/>
      <c r="J42" s="507"/>
      <c r="K42" s="507"/>
      <c r="L42" s="489"/>
      <c r="M42" s="509"/>
      <c r="N42" s="507"/>
      <c r="O42" s="507"/>
      <c r="P42" s="507"/>
      <c r="Q42" s="489"/>
      <c r="R42" s="509"/>
      <c r="S42" s="507"/>
      <c r="T42" s="507"/>
      <c r="U42" s="507"/>
      <c r="V42" s="489"/>
      <c r="W42" s="509"/>
      <c r="X42" s="392"/>
      <c r="Y42" s="392"/>
      <c r="Z42" s="392"/>
      <c r="AA42" s="393"/>
    </row>
    <row r="43" spans="1:23" s="248" customFormat="1" ht="12.75" thickBot="1">
      <c r="A43" s="600"/>
      <c r="B43" s="600"/>
      <c r="C43" s="600"/>
      <c r="D43" s="600"/>
      <c r="E43" s="600"/>
      <c r="F43" s="600"/>
      <c r="G43" s="600"/>
      <c r="H43" s="510"/>
      <c r="I43" s="510"/>
      <c r="J43" s="510"/>
      <c r="K43" s="510"/>
      <c r="L43" s="510"/>
      <c r="M43" s="510"/>
      <c r="N43" s="510"/>
      <c r="O43" s="510"/>
      <c r="P43" s="510"/>
      <c r="Q43" s="510"/>
      <c r="R43" s="510"/>
      <c r="S43" s="510"/>
      <c r="T43" s="510"/>
      <c r="U43" s="510"/>
      <c r="V43" s="510"/>
      <c r="W43" s="510"/>
    </row>
    <row r="44" spans="1:7" ht="14.25" thickBot="1">
      <c r="A44" s="685" t="s">
        <v>57</v>
      </c>
      <c r="B44" s="686"/>
      <c r="C44" s="686"/>
      <c r="D44" s="686"/>
      <c r="E44" s="686"/>
      <c r="F44" s="686"/>
      <c r="G44" s="686"/>
    </row>
    <row r="45" spans="1:7" ht="18" thickBot="1">
      <c r="A45" s="683">
        <f>A33+1</f>
        <v>2025</v>
      </c>
      <c r="B45" s="684"/>
      <c r="C45" s="684"/>
      <c r="D45" s="684"/>
      <c r="E45" s="684"/>
      <c r="F45" s="684"/>
      <c r="G45" s="684"/>
    </row>
    <row r="46" spans="1:7" ht="14.25" thickBot="1">
      <c r="A46" s="578"/>
      <c r="B46" s="579"/>
      <c r="C46" s="579"/>
      <c r="D46" s="579"/>
      <c r="E46" s="579"/>
      <c r="F46" s="579"/>
      <c r="G46" s="580"/>
    </row>
    <row r="47" spans="1:7" ht="14.25" thickBot="1">
      <c r="A47" s="581"/>
      <c r="B47" s="582" t="s">
        <v>364</v>
      </c>
      <c r="C47" s="582" t="s">
        <v>362</v>
      </c>
      <c r="D47" s="582" t="s">
        <v>304</v>
      </c>
      <c r="E47" s="583" t="s">
        <v>365</v>
      </c>
      <c r="F47" s="584" t="s">
        <v>363</v>
      </c>
      <c r="G47" s="584" t="s">
        <v>324</v>
      </c>
    </row>
    <row r="48" spans="1:7" ht="13.5">
      <c r="A48" s="585" t="s">
        <v>360</v>
      </c>
      <c r="B48" s="586">
        <v>5724.67</v>
      </c>
      <c r="C48" s="586">
        <v>5350.16</v>
      </c>
      <c r="D48" s="586">
        <v>6634.2</v>
      </c>
      <c r="E48" s="587"/>
      <c r="F48" s="588">
        <v>180</v>
      </c>
      <c r="G48" s="589"/>
    </row>
    <row r="49" spans="1:7" ht="13.5">
      <c r="A49" s="590" t="s">
        <v>361</v>
      </c>
      <c r="B49" s="586">
        <v>2090.21</v>
      </c>
      <c r="C49" s="586">
        <v>1953.47</v>
      </c>
      <c r="D49" s="586">
        <v>2422.29</v>
      </c>
      <c r="E49" s="463"/>
      <c r="F49" s="463"/>
      <c r="G49" s="591"/>
    </row>
    <row r="50" spans="1:7" ht="14.25" thickBot="1">
      <c r="A50" s="592"/>
      <c r="B50" s="463"/>
      <c r="C50" s="463"/>
      <c r="D50" s="463"/>
      <c r="E50" s="463"/>
      <c r="F50" s="463"/>
      <c r="G50" s="591"/>
    </row>
    <row r="51" spans="1:7" ht="14.25" thickBot="1">
      <c r="A51" s="592"/>
      <c r="B51" s="593" t="s">
        <v>241</v>
      </c>
      <c r="C51" s="594"/>
      <c r="D51" s="594"/>
      <c r="E51" s="593"/>
      <c r="F51" s="593"/>
      <c r="G51" s="594"/>
    </row>
    <row r="52" spans="1:7" ht="15.75" thickBot="1">
      <c r="A52" s="595"/>
      <c r="B52" s="596">
        <f>SUM(B48:B49)*E48</f>
        <v>0</v>
      </c>
      <c r="C52" s="596">
        <f>SUM(C48:C49)*F48</f>
        <v>1314653.4</v>
      </c>
      <c r="D52" s="596">
        <f>SUM(D48:D49)*G48</f>
        <v>0</v>
      </c>
      <c r="E52" s="597">
        <f>+E48</f>
        <v>0</v>
      </c>
      <c r="F52" s="597">
        <f>+F48</f>
        <v>180</v>
      </c>
      <c r="G52" s="597">
        <f>+G48</f>
        <v>0</v>
      </c>
    </row>
    <row r="53" spans="1:7" ht="12">
      <c r="A53" s="601"/>
      <c r="B53" s="601"/>
      <c r="C53" s="601"/>
      <c r="D53" s="601"/>
      <c r="E53" s="601"/>
      <c r="F53" s="601"/>
      <c r="G53" s="601"/>
    </row>
    <row r="54" spans="1:7" ht="12.75" thickBot="1">
      <c r="A54" s="601"/>
      <c r="B54" s="601"/>
      <c r="C54" s="601"/>
      <c r="D54" s="601"/>
      <c r="E54" s="601"/>
      <c r="F54" s="601"/>
      <c r="G54" s="601"/>
    </row>
    <row r="55" spans="1:7" ht="14.25" thickBot="1">
      <c r="A55" s="685" t="s">
        <v>57</v>
      </c>
      <c r="B55" s="686"/>
      <c r="C55" s="686"/>
      <c r="D55" s="686"/>
      <c r="E55" s="686"/>
      <c r="F55" s="686"/>
      <c r="G55" s="686"/>
    </row>
    <row r="56" spans="1:7" ht="22.5" customHeight="1" thickBot="1">
      <c r="A56" s="683">
        <v>2026</v>
      </c>
      <c r="B56" s="684"/>
      <c r="C56" s="684"/>
      <c r="D56" s="684"/>
      <c r="E56" s="684"/>
      <c r="F56" s="684"/>
      <c r="G56" s="684"/>
    </row>
    <row r="57" spans="1:7" ht="14.25" thickBot="1">
      <c r="A57" s="578"/>
      <c r="B57" s="579"/>
      <c r="C57" s="579"/>
      <c r="D57" s="579"/>
      <c r="E57" s="579"/>
      <c r="F57" s="579"/>
      <c r="G57" s="580"/>
    </row>
    <row r="58" spans="1:8" ht="28.5" customHeight="1" thickBot="1">
      <c r="A58" s="581"/>
      <c r="B58" s="582" t="s">
        <v>364</v>
      </c>
      <c r="C58" s="582" t="s">
        <v>362</v>
      </c>
      <c r="D58" s="582" t="s">
        <v>304</v>
      </c>
      <c r="E58" s="583" t="s">
        <v>365</v>
      </c>
      <c r="F58" s="584" t="s">
        <v>363</v>
      </c>
      <c r="G58" s="584" t="s">
        <v>324</v>
      </c>
      <c r="H58" s="687"/>
    </row>
    <row r="59" spans="1:8" ht="13.5">
      <c r="A59" s="585" t="s">
        <v>360</v>
      </c>
      <c r="B59" s="586">
        <v>5724.67</v>
      </c>
      <c r="C59" s="586">
        <v>5350.16</v>
      </c>
      <c r="D59" s="586">
        <v>6634.2</v>
      </c>
      <c r="E59" s="587"/>
      <c r="F59" s="588">
        <v>180</v>
      </c>
      <c r="G59" s="589"/>
      <c r="H59" s="687"/>
    </row>
    <row r="60" spans="1:8" ht="13.5">
      <c r="A60" s="590" t="s">
        <v>361</v>
      </c>
      <c r="B60" s="586">
        <v>2090.21</v>
      </c>
      <c r="C60" s="586">
        <v>1953.47</v>
      </c>
      <c r="D60" s="586">
        <v>2422.29</v>
      </c>
      <c r="E60" s="602"/>
      <c r="F60" s="602"/>
      <c r="G60" s="603"/>
      <c r="H60" s="687"/>
    </row>
    <row r="61" spans="1:7" ht="14.25" thickBot="1">
      <c r="A61" s="592"/>
      <c r="B61" s="463"/>
      <c r="C61" s="463"/>
      <c r="D61" s="463"/>
      <c r="E61" s="463"/>
      <c r="F61" s="463"/>
      <c r="G61" s="591"/>
    </row>
    <row r="62" spans="1:7" ht="14.25" thickBot="1">
      <c r="A62" s="592"/>
      <c r="B62" s="593" t="s">
        <v>241</v>
      </c>
      <c r="C62" s="594"/>
      <c r="D62" s="594"/>
      <c r="E62" s="593"/>
      <c r="F62" s="593"/>
      <c r="G62" s="594"/>
    </row>
    <row r="63" spans="1:7" ht="15.75" thickBot="1">
      <c r="A63" s="397"/>
      <c r="B63" s="543">
        <f>SUM(B59:B60)*E59</f>
        <v>0</v>
      </c>
      <c r="C63" s="543">
        <f>SUM(C59:C60)*F59</f>
        <v>1314653.4</v>
      </c>
      <c r="D63" s="543">
        <f>SUM(D59:D60)*G59</f>
        <v>0</v>
      </c>
      <c r="E63" s="398">
        <f>+E59</f>
        <v>0</v>
      </c>
      <c r="F63" s="398">
        <f>+F59</f>
        <v>180</v>
      </c>
      <c r="G63" s="398">
        <f>+G59</f>
        <v>0</v>
      </c>
    </row>
    <row r="64" spans="1:27" s="248" customFormat="1" ht="13.5">
      <c r="A64" s="399"/>
      <c r="B64" s="302"/>
      <c r="C64" s="302"/>
      <c r="D64" s="392"/>
      <c r="E64" s="392"/>
      <c r="F64" s="392"/>
      <c r="G64" s="393"/>
      <c r="H64" s="508"/>
      <c r="I64" s="506"/>
      <c r="J64" s="507"/>
      <c r="K64" s="507"/>
      <c r="L64" s="489"/>
      <c r="M64" s="508"/>
      <c r="N64" s="506"/>
      <c r="O64" s="507"/>
      <c r="P64" s="507"/>
      <c r="Q64" s="489"/>
      <c r="R64" s="508"/>
      <c r="S64" s="506"/>
      <c r="T64" s="507"/>
      <c r="U64" s="507"/>
      <c r="V64" s="489"/>
      <c r="W64" s="508"/>
      <c r="X64" s="302"/>
      <c r="Y64" s="392"/>
      <c r="Z64" s="392"/>
      <c r="AA64" s="393"/>
    </row>
  </sheetData>
  <sheetProtection formatColumns="0" formatRows="0"/>
  <mergeCells count="12">
    <mergeCell ref="A1:B1"/>
    <mergeCell ref="A56:G56"/>
    <mergeCell ref="A9:G9"/>
    <mergeCell ref="A21:G21"/>
    <mergeCell ref="A33:G33"/>
    <mergeCell ref="A45:G45"/>
    <mergeCell ref="A55:G55"/>
    <mergeCell ref="H58:H60"/>
    <mergeCell ref="A8:G8"/>
    <mergeCell ref="A20:G20"/>
    <mergeCell ref="A32:G32"/>
    <mergeCell ref="A44:G44"/>
  </mergeCells>
  <printOptions/>
  <pageMargins left="0.7" right="0.7" top="0.75" bottom="0.75" header="0.3" footer="0.3"/>
  <pageSetup horizontalDpi="600" verticalDpi="600" orientation="portrait" paperSize="5" scale="54" r:id="rId1"/>
  <colBreaks count="4" manualBreakCount="4">
    <brk id="7" max="65535" man="1"/>
    <brk id="12" max="65535" man="1"/>
    <brk id="17" max="65535" man="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Budget Template - New Operator</dc:title>
  <dc:subject/>
  <dc:creator>spourciau</dc:creator>
  <cp:keywords/>
  <dc:description/>
  <cp:lastModifiedBy>Erin Walsh</cp:lastModifiedBy>
  <cp:lastPrinted>2019-01-22T20:46:46Z</cp:lastPrinted>
  <dcterms:created xsi:type="dcterms:W3CDTF">2008-07-31T19:00:10Z</dcterms:created>
  <dcterms:modified xsi:type="dcterms:W3CDTF">2020-05-01T17:01:37Z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y fmtid="{D5CDD505-2E9C-101B-9397-08002B2CF9AE}" pid="3" name="Archived Page">
    <vt:lpwstr>0</vt:lpwstr>
  </property>
  <property fmtid="{D5CDD505-2E9C-101B-9397-08002B2CF9AE}" pid="4" name="ContentType">
    <vt:lpwstr>Document</vt:lpwstr>
  </property>
  <property fmtid="{D5CDD505-2E9C-101B-9397-08002B2CF9AE}" pid="5" name="PublishingExpirationDate">
    <vt:lpwstr/>
  </property>
  <property fmtid="{D5CDD505-2E9C-101B-9397-08002B2CF9AE}" pid="6" name="PublishingStartDate">
    <vt:lpwstr/>
  </property>
</Properties>
</file>